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30" windowWidth="18675" windowHeight="11295"/>
  </bookViews>
  <sheets>
    <sheet name="Hoja1" sheetId="1" r:id="rId1"/>
    <sheet name="Hoja2" sheetId="2" r:id="rId2"/>
    <sheet name="Hoja3" sheetId="3" r:id="rId3"/>
  </sheets>
  <externalReferences>
    <externalReference r:id="rId4"/>
  </externalReferences>
  <definedNames>
    <definedName name="_Toc208202813" localSheetId="0">Hoja1!$B$138</definedName>
  </definedNames>
  <calcPr calcId="145621"/>
</workbook>
</file>

<file path=xl/calcChain.xml><?xml version="1.0" encoding="utf-8"?>
<calcChain xmlns="http://schemas.openxmlformats.org/spreadsheetml/2006/main">
  <c r="C730" i="1" l="1"/>
  <c r="D724" i="1"/>
  <c r="D730" i="1" s="1"/>
  <c r="D720" i="1"/>
  <c r="D723" i="1" s="1"/>
  <c r="C720" i="1"/>
  <c r="C723" i="1" s="1"/>
  <c r="B715" i="1"/>
  <c r="D702" i="1"/>
  <c r="B698" i="1"/>
  <c r="D691" i="1"/>
  <c r="C691" i="1"/>
  <c r="D690" i="1"/>
  <c r="C690" i="1"/>
  <c r="B689" i="1"/>
  <c r="B701" i="1" s="1"/>
  <c r="B716" i="1" s="1"/>
  <c r="B687" i="1"/>
  <c r="D678" i="1"/>
  <c r="C678" i="1"/>
  <c r="D677" i="1"/>
  <c r="C677" i="1"/>
  <c r="D676" i="1"/>
  <c r="C676" i="1"/>
  <c r="D675" i="1"/>
  <c r="C675" i="1"/>
  <c r="D674" i="1"/>
  <c r="C674" i="1"/>
  <c r="D673" i="1"/>
  <c r="C673" i="1"/>
  <c r="D672" i="1"/>
  <c r="C672" i="1"/>
  <c r="D671" i="1"/>
  <c r="C671" i="1"/>
  <c r="D670" i="1"/>
  <c r="C670" i="1"/>
  <c r="D669" i="1"/>
  <c r="D689" i="1" s="1"/>
  <c r="D701" i="1" s="1"/>
  <c r="D716" i="1" s="1"/>
  <c r="C669" i="1"/>
  <c r="C689" i="1" s="1"/>
  <c r="C701" i="1" s="1"/>
  <c r="B667" i="1"/>
  <c r="E653" i="1"/>
  <c r="C652" i="1"/>
  <c r="D651" i="1"/>
  <c r="C651" i="1"/>
  <c r="B648" i="1"/>
  <c r="D640" i="1"/>
  <c r="C640" i="1"/>
  <c r="D639" i="1"/>
  <c r="C639" i="1"/>
  <c r="D638" i="1"/>
  <c r="C638" i="1"/>
  <c r="D637" i="1"/>
  <c r="C637" i="1"/>
  <c r="D636" i="1"/>
  <c r="C636" i="1"/>
  <c r="D635" i="1"/>
  <c r="C635" i="1"/>
  <c r="D634" i="1"/>
  <c r="C634" i="1"/>
  <c r="D633" i="1"/>
  <c r="D650" i="1" s="1"/>
  <c r="C633" i="1"/>
  <c r="C650" i="1" s="1"/>
  <c r="B631" i="1"/>
  <c r="D622" i="1"/>
  <c r="D624" i="1" s="1"/>
  <c r="C622" i="1"/>
  <c r="C624" i="1" s="1"/>
  <c r="B619" i="1"/>
  <c r="D603" i="1"/>
  <c r="C603" i="1"/>
  <c r="D602" i="1"/>
  <c r="C602" i="1"/>
  <c r="D601" i="1"/>
  <c r="C601" i="1"/>
  <c r="D600" i="1"/>
  <c r="C600" i="1"/>
  <c r="D599" i="1"/>
  <c r="C599" i="1"/>
  <c r="D598" i="1"/>
  <c r="C598" i="1"/>
  <c r="D597" i="1"/>
  <c r="C597" i="1"/>
  <c r="D596" i="1"/>
  <c r="C596" i="1"/>
  <c r="D595" i="1"/>
  <c r="C595" i="1"/>
  <c r="D594" i="1"/>
  <c r="C594" i="1"/>
  <c r="D593" i="1"/>
  <c r="C593" i="1"/>
  <c r="B593" i="1"/>
  <c r="B591" i="1"/>
  <c r="E581" i="1"/>
  <c r="D581" i="1"/>
  <c r="C581" i="1"/>
  <c r="E580" i="1"/>
  <c r="D580" i="1"/>
  <c r="C580" i="1"/>
  <c r="E579" i="1"/>
  <c r="D579" i="1"/>
  <c r="C579" i="1"/>
  <c r="E578" i="1"/>
  <c r="D578" i="1"/>
  <c r="C578" i="1"/>
  <c r="E577" i="1"/>
  <c r="D577" i="1"/>
  <c r="C577" i="1"/>
  <c r="E576" i="1"/>
  <c r="D576" i="1"/>
  <c r="C576" i="1"/>
  <c r="E575" i="1"/>
  <c r="D575" i="1"/>
  <c r="C575" i="1"/>
  <c r="E574" i="1"/>
  <c r="D574" i="1"/>
  <c r="C574" i="1"/>
  <c r="E573" i="1"/>
  <c r="D573" i="1"/>
  <c r="C573" i="1"/>
  <c r="E572" i="1"/>
  <c r="D572" i="1"/>
  <c r="C572" i="1"/>
  <c r="E571" i="1"/>
  <c r="D571" i="1"/>
  <c r="C571" i="1"/>
  <c r="E570" i="1"/>
  <c r="D570" i="1"/>
  <c r="C570" i="1"/>
  <c r="B549" i="1"/>
  <c r="E543" i="1"/>
  <c r="C542" i="1"/>
  <c r="E542" i="1" s="1"/>
  <c r="C541" i="1"/>
  <c r="E541" i="1" s="1"/>
  <c r="D540" i="1"/>
  <c r="D544" i="1" s="1"/>
  <c r="D545" i="1" s="1"/>
  <c r="C540" i="1"/>
  <c r="D539" i="1"/>
  <c r="B536" i="1" s="1"/>
  <c r="C539" i="1"/>
  <c r="B548" i="1" s="1"/>
  <c r="B538" i="1"/>
  <c r="B534" i="1"/>
  <c r="D526" i="1"/>
  <c r="E526" i="1" s="1"/>
  <c r="D525" i="1"/>
  <c r="D527" i="1" s="1"/>
  <c r="C525" i="1"/>
  <c r="C527" i="1" s="1"/>
  <c r="C528" i="1" s="1"/>
  <c r="B520" i="1"/>
  <c r="D503" i="1"/>
  <c r="C501" i="1" s="1"/>
  <c r="E501" i="1" s="1"/>
  <c r="C503" i="1"/>
  <c r="C502" i="1"/>
  <c r="E502" i="1" s="1"/>
  <c r="D500" i="1"/>
  <c r="C500" i="1"/>
  <c r="B496" i="1"/>
  <c r="D487" i="1"/>
  <c r="C487" i="1"/>
  <c r="D486" i="1"/>
  <c r="C486" i="1"/>
  <c r="D485" i="1"/>
  <c r="C485" i="1"/>
  <c r="D484" i="1"/>
  <c r="C484" i="1"/>
  <c r="D483" i="1"/>
  <c r="C483" i="1"/>
  <c r="D482" i="1"/>
  <c r="C482" i="1"/>
  <c r="D481" i="1"/>
  <c r="C481" i="1"/>
  <c r="B476" i="1"/>
  <c r="D469" i="1"/>
  <c r="C469" i="1"/>
  <c r="D468" i="1"/>
  <c r="C468" i="1"/>
  <c r="B464" i="1"/>
  <c r="D448" i="1"/>
  <c r="D449" i="1" s="1"/>
  <c r="C448" i="1"/>
  <c r="C449" i="1" s="1"/>
  <c r="D437" i="1"/>
  <c r="C437" i="1"/>
  <c r="C436" i="1"/>
  <c r="E436" i="1" s="1"/>
  <c r="D435" i="1"/>
  <c r="D434" i="1"/>
  <c r="C434" i="1"/>
  <c r="B430" i="1"/>
  <c r="D417" i="1"/>
  <c r="D652" i="1" s="1"/>
  <c r="D654" i="1" s="1"/>
  <c r="D655" i="1" s="1"/>
  <c r="C417" i="1"/>
  <c r="C418" i="1" s="1"/>
  <c r="E416" i="1"/>
  <c r="D415" i="1"/>
  <c r="D212" i="1" s="1"/>
  <c r="D234" i="1" s="1"/>
  <c r="C415" i="1"/>
  <c r="B412" i="1"/>
  <c r="D357" i="1"/>
  <c r="C357" i="1"/>
  <c r="E354" i="1"/>
  <c r="D353" i="1"/>
  <c r="D355" i="1" s="1"/>
  <c r="C353" i="1"/>
  <c r="C355" i="1" s="1"/>
  <c r="E352" i="1"/>
  <c r="E351" i="1"/>
  <c r="E350" i="1"/>
  <c r="E347" i="1"/>
  <c r="D346" i="1"/>
  <c r="D348" i="1" s="1"/>
  <c r="C346" i="1"/>
  <c r="C348" i="1" s="1"/>
  <c r="E345" i="1"/>
  <c r="E346" i="1" s="1"/>
  <c r="E344" i="1"/>
  <c r="E342" i="1"/>
  <c r="C339" i="1"/>
  <c r="C338" i="1"/>
  <c r="D336" i="1"/>
  <c r="C336" i="1"/>
  <c r="D335" i="1"/>
  <c r="C335" i="1"/>
  <c r="E330" i="1"/>
  <c r="D329" i="1"/>
  <c r="C329" i="1"/>
  <c r="D328" i="1"/>
  <c r="C328" i="1"/>
  <c r="E325" i="1"/>
  <c r="D324" i="1"/>
  <c r="D326" i="1" s="1"/>
  <c r="C324" i="1"/>
  <c r="C326" i="1" s="1"/>
  <c r="E323" i="1"/>
  <c r="E322" i="1"/>
  <c r="E321" i="1"/>
  <c r="C317" i="1"/>
  <c r="C316" i="1"/>
  <c r="E315" i="1"/>
  <c r="D314" i="1"/>
  <c r="C314" i="1" s="1"/>
  <c r="E310" i="1"/>
  <c r="C308" i="1"/>
  <c r="E306" i="1"/>
  <c r="D305" i="1"/>
  <c r="E305" i="1" s="1"/>
  <c r="C304" i="1"/>
  <c r="E301" i="1"/>
  <c r="C299" i="1"/>
  <c r="B299" i="1"/>
  <c r="B308" i="1" s="1"/>
  <c r="B317" i="1" s="1"/>
  <c r="B332" i="1" s="1"/>
  <c r="B339" i="1" s="1"/>
  <c r="C298" i="1"/>
  <c r="B298" i="1"/>
  <c r="B307" i="1" s="1"/>
  <c r="B316" i="1" s="1"/>
  <c r="B331" i="1" s="1"/>
  <c r="B338" i="1" s="1"/>
  <c r="E297" i="1"/>
  <c r="B297" i="1"/>
  <c r="B306" i="1" s="1"/>
  <c r="B315" i="1" s="1"/>
  <c r="B330" i="1" s="1"/>
  <c r="B337" i="1" s="1"/>
  <c r="D296" i="1"/>
  <c r="E296" i="1" s="1"/>
  <c r="B296" i="1"/>
  <c r="B305" i="1" s="1"/>
  <c r="B314" i="1" s="1"/>
  <c r="B329" i="1" s="1"/>
  <c r="B336" i="1" s="1"/>
  <c r="D295" i="1"/>
  <c r="C295" i="1"/>
  <c r="B295" i="1"/>
  <c r="B304" i="1" s="1"/>
  <c r="B313" i="1" s="1"/>
  <c r="B328" i="1" s="1"/>
  <c r="B335" i="1" s="1"/>
  <c r="E292" i="1"/>
  <c r="C290" i="1"/>
  <c r="C289" i="1"/>
  <c r="E288" i="1"/>
  <c r="D286" i="1"/>
  <c r="C286" i="1" s="1"/>
  <c r="D283" i="1"/>
  <c r="C283" i="1"/>
  <c r="B282" i="1"/>
  <c r="B279" i="1"/>
  <c r="C265" i="1"/>
  <c r="E264" i="1"/>
  <c r="E260" i="1"/>
  <c r="E258" i="1"/>
  <c r="E257" i="1"/>
  <c r="E256" i="1"/>
  <c r="E255" i="1"/>
  <c r="E254" i="1"/>
  <c r="E253" i="1"/>
  <c r="E252" i="1"/>
  <c r="B248" i="1"/>
  <c r="B247" i="1"/>
  <c r="D239" i="1"/>
  <c r="D240" i="1" s="1"/>
  <c r="C239" i="1"/>
  <c r="C240" i="1" s="1"/>
  <c r="C241" i="1" s="1"/>
  <c r="D237" i="1"/>
  <c r="C237" i="1"/>
  <c r="D236" i="1"/>
  <c r="B232" i="1"/>
  <c r="B231" i="1"/>
  <c r="D214" i="1"/>
  <c r="C214" i="1"/>
  <c r="D213" i="1"/>
  <c r="C213" i="1"/>
  <c r="B210" i="1"/>
  <c r="B209" i="1"/>
  <c r="D200" i="1"/>
  <c r="D201" i="1" s="1"/>
  <c r="C200" i="1"/>
  <c r="B196" i="1"/>
  <c r="D189" i="1"/>
  <c r="D190" i="1" s="1"/>
  <c r="C189" i="1"/>
  <c r="C190" i="1" s="1"/>
  <c r="C191" i="1" s="1"/>
  <c r="D188" i="1"/>
  <c r="C188" i="1"/>
  <c r="D187" i="1"/>
  <c r="C187" i="1"/>
  <c r="B184" i="1"/>
  <c r="B444" i="1" s="1"/>
  <c r="D152" i="1"/>
  <c r="C152" i="1"/>
  <c r="D151" i="1"/>
  <c r="C151" i="1"/>
  <c r="D150" i="1"/>
  <c r="C150" i="1"/>
  <c r="D149" i="1"/>
  <c r="C149" i="1"/>
  <c r="D148" i="1"/>
  <c r="C148" i="1"/>
  <c r="D147" i="1"/>
  <c r="C147" i="1"/>
  <c r="D146" i="1"/>
  <c r="C146" i="1"/>
  <c r="D145" i="1"/>
  <c r="C145" i="1"/>
  <c r="D144" i="1"/>
  <c r="B242" i="1" s="1"/>
  <c r="C144" i="1"/>
  <c r="B139" i="1"/>
  <c r="B14" i="1"/>
  <c r="E348" i="1" l="1"/>
  <c r="C702" i="1"/>
  <c r="E324" i="1"/>
  <c r="E326" i="1" s="1"/>
  <c r="E357" i="1"/>
  <c r="E145" i="1"/>
  <c r="E149" i="1"/>
  <c r="E151" i="1"/>
  <c r="D198" i="1"/>
  <c r="D263" i="1" s="1"/>
  <c r="E675" i="1"/>
  <c r="E146" i="1"/>
  <c r="C499" i="1"/>
  <c r="D340" i="1"/>
  <c r="E481" i="1"/>
  <c r="E483" i="1"/>
  <c r="E485" i="1"/>
  <c r="E487" i="1"/>
  <c r="D499" i="1"/>
  <c r="E674" i="1"/>
  <c r="E336" i="1"/>
  <c r="B431" i="1"/>
  <c r="E437" i="1"/>
  <c r="E676" i="1"/>
  <c r="E678" i="1"/>
  <c r="E690" i="1"/>
  <c r="C215" i="1"/>
  <c r="C216" i="1" s="1"/>
  <c r="D582" i="1"/>
  <c r="C585" i="1" s="1"/>
  <c r="D604" i="1"/>
  <c r="E670" i="1"/>
  <c r="C731" i="1"/>
  <c r="C703" i="1" s="1"/>
  <c r="E261" i="1"/>
  <c r="D265" i="1" s="1"/>
  <c r="D266" i="1" s="1"/>
  <c r="D267" i="1" s="1"/>
  <c r="E353" i="1"/>
  <c r="E355" i="1" s="1"/>
  <c r="E417" i="1"/>
  <c r="E418" i="1" s="1"/>
  <c r="D504" i="1"/>
  <c r="D505" i="1" s="1"/>
  <c r="E595" i="1"/>
  <c r="E603" i="1"/>
  <c r="E671" i="1"/>
  <c r="E673" i="1"/>
  <c r="D731" i="1"/>
  <c r="D703" i="1" s="1"/>
  <c r="D333" i="1"/>
  <c r="E329" i="1"/>
  <c r="B413" i="1"/>
  <c r="E652" i="1"/>
  <c r="E148" i="1"/>
  <c r="E601" i="1"/>
  <c r="E636" i="1"/>
  <c r="E150" i="1"/>
  <c r="E237" i="1"/>
  <c r="D300" i="1"/>
  <c r="D302" i="1" s="1"/>
  <c r="D304" i="1"/>
  <c r="D309" i="1" s="1"/>
  <c r="D311" i="1" s="1"/>
  <c r="C471" i="1"/>
  <c r="C604" i="1"/>
  <c r="C605" i="1" s="1"/>
  <c r="E598" i="1"/>
  <c r="E600" i="1"/>
  <c r="E602" i="1"/>
  <c r="E635" i="1"/>
  <c r="E637" i="1"/>
  <c r="D692" i="1"/>
  <c r="D693" i="1" s="1"/>
  <c r="C198" i="1"/>
  <c r="C263" i="1" s="1"/>
  <c r="E486" i="1"/>
  <c r="B535" i="1"/>
  <c r="B140" i="1"/>
  <c r="E147" i="1"/>
  <c r="B185" i="1"/>
  <c r="E200" i="1"/>
  <c r="C212" i="1"/>
  <c r="C234" i="1" s="1"/>
  <c r="E214" i="1"/>
  <c r="D313" i="1"/>
  <c r="D318" i="1" s="1"/>
  <c r="D320" i="1" s="1"/>
  <c r="E328" i="1"/>
  <c r="E333" i="1" s="1"/>
  <c r="E448" i="1"/>
  <c r="E449" i="1" s="1"/>
  <c r="E451" i="1" s="1"/>
  <c r="D451" i="1" s="1"/>
  <c r="E469" i="1"/>
  <c r="E597" i="1"/>
  <c r="E622" i="1"/>
  <c r="E639" i="1"/>
  <c r="C679" i="1"/>
  <c r="C680" i="1" s="1"/>
  <c r="C153" i="1"/>
  <c r="C154" i="1" s="1"/>
  <c r="E188" i="1"/>
  <c r="D215" i="1"/>
  <c r="C309" i="1"/>
  <c r="C311" i="1" s="1"/>
  <c r="E335" i="1"/>
  <c r="D471" i="1"/>
  <c r="D488" i="1"/>
  <c r="E484" i="1"/>
  <c r="C504" i="1"/>
  <c r="C505" i="1" s="1"/>
  <c r="E503" i="1"/>
  <c r="C582" i="1"/>
  <c r="E599" i="1"/>
  <c r="C621" i="1"/>
  <c r="E634" i="1"/>
  <c r="C654" i="1"/>
  <c r="C655" i="1" s="1"/>
  <c r="D679" i="1"/>
  <c r="D680" i="1" s="1"/>
  <c r="C692" i="1"/>
  <c r="C693" i="1" s="1"/>
  <c r="E240" i="1"/>
  <c r="E242" i="1" s="1"/>
  <c r="D242" i="1" s="1"/>
  <c r="D641" i="1"/>
  <c r="E638" i="1"/>
  <c r="E640" i="1"/>
  <c r="E672" i="1"/>
  <c r="E677" i="1"/>
  <c r="D153" i="1"/>
  <c r="E239" i="1"/>
  <c r="D438" i="1"/>
  <c r="C544" i="1"/>
  <c r="C545" i="1" s="1"/>
  <c r="E582" i="1"/>
  <c r="E594" i="1"/>
  <c r="B694" i="1"/>
  <c r="B656" i="1"/>
  <c r="B606" i="1"/>
  <c r="B546" i="1"/>
  <c r="B490" i="1"/>
  <c r="B473" i="1"/>
  <c r="B360" i="1"/>
  <c r="B681" i="1"/>
  <c r="B643" i="1"/>
  <c r="B529" i="1"/>
  <c r="B506" i="1"/>
  <c r="B440" i="1"/>
  <c r="B706" i="1"/>
  <c r="B626" i="1"/>
  <c r="B420" i="1"/>
  <c r="B155" i="1"/>
  <c r="E189" i="1"/>
  <c r="E190" i="1" s="1"/>
  <c r="E192" i="1" s="1"/>
  <c r="D192" i="1" s="1"/>
  <c r="C199" i="1"/>
  <c r="B203" i="1"/>
  <c r="C235" i="1"/>
  <c r="E262" i="1"/>
  <c r="B268" i="1"/>
  <c r="C313" i="1"/>
  <c r="E314" i="1"/>
  <c r="C704" i="1"/>
  <c r="C524" i="1"/>
  <c r="C467" i="1"/>
  <c r="C447" i="1"/>
  <c r="B192" i="1"/>
  <c r="E213" i="1"/>
  <c r="B217" i="1"/>
  <c r="D235" i="1"/>
  <c r="E286" i="1"/>
  <c r="D291" i="1"/>
  <c r="D293" i="1" s="1"/>
  <c r="E295" i="1"/>
  <c r="E300" i="1" s="1"/>
  <c r="E302" i="1" s="1"/>
  <c r="C625" i="1"/>
  <c r="E624" i="1"/>
  <c r="B699" i="1"/>
  <c r="C716" i="1"/>
  <c r="D704" i="1"/>
  <c r="D524" i="1"/>
  <c r="D467" i="1"/>
  <c r="D480" i="1" s="1"/>
  <c r="D447" i="1"/>
  <c r="E265" i="1"/>
  <c r="E266" i="1" s="1"/>
  <c r="E268" i="1" s="1"/>
  <c r="D268" i="1" s="1"/>
  <c r="C266" i="1"/>
  <c r="C267" i="1" s="1"/>
  <c r="C300" i="1"/>
  <c r="C302" i="1" s="1"/>
  <c r="C333" i="1"/>
  <c r="C340" i="1"/>
  <c r="E500" i="1"/>
  <c r="E540" i="1"/>
  <c r="E544" i="1" s="1"/>
  <c r="E546" i="1" s="1"/>
  <c r="D546" i="1" s="1"/>
  <c r="D621" i="1"/>
  <c r="E596" i="1"/>
  <c r="C641" i="1"/>
  <c r="C642" i="1" s="1"/>
  <c r="E651" i="1"/>
  <c r="E691" i="1"/>
  <c r="E702" i="1"/>
  <c r="D418" i="1"/>
  <c r="C435" i="1"/>
  <c r="E468" i="1"/>
  <c r="E482" i="1"/>
  <c r="C488" i="1"/>
  <c r="E525" i="1"/>
  <c r="E527" i="1" s="1"/>
  <c r="E529" i="1" s="1"/>
  <c r="D529" i="1" s="1"/>
  <c r="B497" i="1" l="1"/>
  <c r="E692" i="1"/>
  <c r="E694" i="1" s="1"/>
  <c r="D694" i="1" s="1"/>
  <c r="E304" i="1"/>
  <c r="E309" i="1" s="1"/>
  <c r="E311" i="1" s="1"/>
  <c r="E420" i="1"/>
  <c r="E703" i="1"/>
  <c r="E704" i="1" s="1"/>
  <c r="E706" i="1" s="1"/>
  <c r="D706" i="1" s="1"/>
  <c r="C472" i="1"/>
  <c r="E654" i="1"/>
  <c r="E656" i="1" s="1"/>
  <c r="D656" i="1" s="1"/>
  <c r="C584" i="1"/>
  <c r="D341" i="1"/>
  <c r="D358" i="1" s="1"/>
  <c r="E340" i="1"/>
  <c r="E341" i="1" s="1"/>
  <c r="E343" i="1" s="1"/>
  <c r="E606" i="1"/>
  <c r="D606" i="1" s="1"/>
  <c r="E153" i="1"/>
  <c r="E155" i="1" s="1"/>
  <c r="D155" i="1" s="1"/>
  <c r="E215" i="1"/>
  <c r="E217" i="1" s="1"/>
  <c r="D217" i="1" s="1"/>
  <c r="E679" i="1"/>
  <c r="E681" i="1" s="1"/>
  <c r="D681" i="1" s="1"/>
  <c r="E641" i="1"/>
  <c r="E643" i="1" s="1"/>
  <c r="D643" i="1" s="1"/>
  <c r="D492" i="1"/>
  <c r="E471" i="1"/>
  <c r="E473" i="1" s="1"/>
  <c r="D473" i="1" s="1"/>
  <c r="B197" i="1"/>
  <c r="E504" i="1"/>
  <c r="E506" i="1" s="1"/>
  <c r="D506" i="1" s="1"/>
  <c r="E604" i="1"/>
  <c r="E488" i="1"/>
  <c r="E492" i="1" s="1"/>
  <c r="B521" i="1"/>
  <c r="E235" i="1"/>
  <c r="C236" i="1"/>
  <c r="E236" i="1" s="1"/>
  <c r="C438" i="1"/>
  <c r="E435" i="1"/>
  <c r="E438" i="1" s="1"/>
  <c r="E440" i="1" s="1"/>
  <c r="D440" i="1" s="1"/>
  <c r="C341" i="1"/>
  <c r="B445" i="1"/>
  <c r="E313" i="1"/>
  <c r="E318" i="1" s="1"/>
  <c r="E320" i="1" s="1"/>
  <c r="C318" i="1"/>
  <c r="C320" i="1" s="1"/>
  <c r="C492" i="1"/>
  <c r="C489" i="1"/>
  <c r="C287" i="1"/>
  <c r="C480" i="1"/>
  <c r="B477" i="1" s="1"/>
  <c r="B465" i="1"/>
  <c r="C201" i="1"/>
  <c r="E199" i="1"/>
  <c r="E201" i="1" s="1"/>
  <c r="E203" i="1" s="1"/>
  <c r="D203" i="1" s="1"/>
  <c r="D343" i="1" l="1"/>
  <c r="D356" i="1" s="1"/>
  <c r="E287" i="1"/>
  <c r="E291" i="1" s="1"/>
  <c r="E293" i="1" s="1"/>
  <c r="E356" i="1" s="1"/>
  <c r="E358" i="1" s="1"/>
  <c r="E360" i="1" s="1"/>
  <c r="D360" i="1" s="1"/>
  <c r="C291" i="1"/>
  <c r="C293" i="1" s="1"/>
  <c r="C358" i="1" s="1"/>
  <c r="C343" i="1"/>
  <c r="C356" i="1" l="1"/>
</calcChain>
</file>

<file path=xl/comments1.xml><?xml version="1.0" encoding="utf-8"?>
<comments xmlns="http://schemas.openxmlformats.org/spreadsheetml/2006/main">
  <authors>
    <author>JUAN J. SANCHEZ</author>
  </authors>
  <commentList>
    <comment ref="C436" authorId="0">
      <text>
        <r>
          <rPr>
            <b/>
            <sz val="9"/>
            <color indexed="81"/>
            <rFont val="Tahoma"/>
            <family val="2"/>
          </rPr>
          <t>JUAN J. SANCHEZ:</t>
        </r>
        <r>
          <rPr>
            <sz val="9"/>
            <color indexed="81"/>
            <rFont val="Tahoma"/>
            <family val="2"/>
          </rPr>
          <t xml:space="preserve">
ayuntamiento y edenorte
</t>
        </r>
      </text>
    </comment>
  </commentList>
</comments>
</file>

<file path=xl/sharedStrings.xml><?xml version="1.0" encoding="utf-8"?>
<sst xmlns="http://schemas.openxmlformats.org/spreadsheetml/2006/main" count="398" uniqueCount="349">
  <si>
    <t>PRINCIPALES PRINCIPIOS Y POLÍTICAS CONTABLES</t>
  </si>
  <si>
    <t>Nota #1</t>
  </si>
  <si>
    <t>Entidad Económica</t>
  </si>
  <si>
    <t>Corporación del Acueducto y Alcantarillado de Moca, CORAAMOCA.</t>
  </si>
  <si>
    <t xml:space="preserve">En  el año 1995,  mediante  el  Decreto  Núm. 121-95,  se  crea  e  integra,  con  función provisional, el Comité de Manejo del Acueducto de Moca, con  el  fin  de  manejar  sus instalaciones  y  dependencias,  mientras  se  aprobaba  y  promulgaba  la  Ley  para  la creación de un organismo autónomo para  la  administración,  operación  y  manejo  de dicho servicio público. Dos años más tarde, mediante la Ley Núm. 89-97 d/f 12 de marzo de 1997, considerando la importancia de asegurar el buen funcionamiento de las obras de ingeniería en proceso, así  como  la  planificación  de  su  desarrollo  futuro,    para  obtener  el  más  eficiente abastecimiento de agua potable, se crea la Corporación del Acueducto y  Alcantarillado de Moca  (CORAAMOCA)  como  una  entidad  pública  autónoma, con  personalidad jurídica, patrimonio propio, con el fin de administrar, operar y mantener el Acueducto y Alcantarillado  de  la  ciudad  de  Moca y de la Provincia Espaillat. </t>
  </si>
  <si>
    <t>NOMBRE</t>
  </si>
  <si>
    <t>CARGOS</t>
  </si>
  <si>
    <t>Reynaldo Constantino Méndez Sánchez</t>
  </si>
  <si>
    <t>Director General</t>
  </si>
  <si>
    <t>María Patricia  Almonte de Grullón</t>
  </si>
  <si>
    <t>Directora Administrativa Financiera</t>
  </si>
  <si>
    <t xml:space="preserve">Comarky Reyes </t>
  </si>
  <si>
    <t>Directora Recursos Humanos</t>
  </si>
  <si>
    <t>Julio  Henríquez Tejada</t>
  </si>
  <si>
    <t xml:space="preserve">Director Gerencia Técnica </t>
  </si>
  <si>
    <t>Rafael Evagelista Ulloa</t>
  </si>
  <si>
    <t>Director Comercial</t>
  </si>
  <si>
    <t xml:space="preserve">Stephany Almonte </t>
  </si>
  <si>
    <t>Directora de Planificación y Desarrollo</t>
  </si>
  <si>
    <t>Joel Andrés Bautista Gómez</t>
  </si>
  <si>
    <t>Jurídico</t>
  </si>
  <si>
    <t>Humberto Antonio Hernández</t>
  </si>
  <si>
    <t>Enc. Dpto Administrativa</t>
  </si>
  <si>
    <t>Nilo Cipriano Tavares Santiago</t>
  </si>
  <si>
    <t>Enc. de Tecnología</t>
  </si>
  <si>
    <t>Guillermina del Carmen Florentino</t>
  </si>
  <si>
    <t>Enc. Dpto Financiero</t>
  </si>
  <si>
    <t>Robinson Expedito Durán Barcacel</t>
  </si>
  <si>
    <t>Enc. RR PP</t>
  </si>
  <si>
    <t>Juan José Sánchez</t>
  </si>
  <si>
    <t>Enc. Control y Análisis</t>
  </si>
  <si>
    <t>Paula Maileny Morillo Arias</t>
  </si>
  <si>
    <t>Enc. Contabilidad</t>
  </si>
  <si>
    <t>Lucianny Pérez García</t>
  </si>
  <si>
    <t>Enc. Presupuesto</t>
  </si>
  <si>
    <t>Alex Ureña Badía</t>
  </si>
  <si>
    <t>Enc. Planta La Dura</t>
  </si>
  <si>
    <t>Marleny de Jesús Alberto</t>
  </si>
  <si>
    <t>Enc. Compras</t>
  </si>
  <si>
    <t xml:space="preserve">Nota #2 </t>
  </si>
  <si>
    <t xml:space="preserve">Base de presentación </t>
  </si>
  <si>
    <t>La formulación de los Estados Financieros, de los cuales  forman  parte  las  presentes Notas, se basan fundamentalmente, en la normativa contable emitida  por  la  Dirección General de Contabilidad Gubernamental, y hasta donde es posible su aplicación, en las Normas Internacionales de Contabilidad para el Sector Público (NICSP).</t>
  </si>
  <si>
    <t>La Institución presenta su presupuesto aprobado según la base contable de efectivo y los Estados Financieros sobre  la base de acumulación (o devengo) conforme a las estipulaciones de las NICESP 24 “Presentación de Información del Presupuesto en los Estados Financieros”.</t>
  </si>
  <si>
    <t>El presupuesto se aprueba según la base contable de efectivo siguiendo una clasificación de pago por funciones. El presupuesto ejecutado cubre el periodo fiscal que va desde el 1ro. de enero hasta el 31 de diciembre de 2024 y es incluido como información suplementaria en los Estados Financieros y sus Notas, aunque cabe señalar que las informaciones contenidas en los mismos,  corresponden al corte del mes.</t>
  </si>
  <si>
    <t>Nota # 3</t>
  </si>
  <si>
    <t xml:space="preserve">Moneda funcional y de presentación </t>
  </si>
  <si>
    <t>Los Estados Financieros están presentados en pesos dominicanos (RD$) moneda de curso legal en República Dominicana.</t>
  </si>
  <si>
    <t>Nota #4</t>
  </si>
  <si>
    <t>Uso de estimados y Juicios</t>
  </si>
  <si>
    <t>La preparación de los Estados Financieros de conformidad con las NICSP, requiere que la administración realice juicios estimaciones y supuestos que afectan la aplicación de las Políticas Contable y los montos de activos, pasivos, ingresos y gastos reportados. Los resultados reales pueden diferir de estas estimaciones.</t>
  </si>
  <si>
    <t>Las estimaciones y supuestos relevantes son revisados regularmente, las cuales son reconocidas prospectivamente.</t>
  </si>
  <si>
    <t>Juicios</t>
  </si>
  <si>
    <t>La información sobre juicios realizados en la aplicación de Políticas Contables que tienen el efecto más importante sobre los montos reconocidos en el Estado de Rendimientos Financiero se describe en la Nota referente a gastos generales y administrativos (alquileres de vehículo); se determina si un acuerdo contiene un arrendamiento y su clasificación.</t>
  </si>
  <si>
    <t>Supuesto e incertidumbre en las estimaciones</t>
  </si>
  <si>
    <t>La información sobre los supuestos e incertidumbre de estimación que tiene un riesgo significativo de resultar en un ajuste material en los años terminados el 31 de diciembre 2024 y 31de diciembre 2023 se incluye en la Nota referente a compromisos y contingencias; reconocimiento y medición de contingencias; supuestos claves relacionados con la probabilidad y magnitud de una salida de recursos económicos.</t>
  </si>
  <si>
    <t>Medición de los valores razonables.</t>
  </si>
  <si>
    <t>La entidad cuenta con un marco de control establecido en relación con el cálculo de los valores razonables y tiene la responsabilidad general por la supervisión de todas las mediciones significativas de este, incluyendo los de niveles 3.</t>
  </si>
  <si>
    <t>Cuando se mide el valor razonable de un activo o pasivo, la (nombre de la Institución que informa) utiliza siempre que sea posible, precios cotizados en un mercado activo.</t>
  </si>
  <si>
    <t>Si el mercado para un activo o pasivo no es activo, la entidad establecerá el valor razonable utilizando una técnica de valoración. Con ésta se busca establecer cuál será el precio de una transacción realizada a la fecha de medición.</t>
  </si>
  <si>
    <t>Los valores se clasifican en niveles distintos dentro de una jerarquía como sigue:</t>
  </si>
  <si>
    <t>Nivel 1: Precios (no-ajustados) en mercados activos para activos o pasivos idénticos,</t>
  </si>
  <si>
    <t>Nivel 2: Datos diferentes de los precios cotizados incluidos en el Nivel 1 que sean observados para el activo o pasivo, ya sea directa (precios) o indirectamente (derivados de los precios).</t>
  </si>
  <si>
    <t>Nivel 3: Datos para el activo o pasivo que no se basan en datos de mercados observables (variables no observables).</t>
  </si>
  <si>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</si>
  <si>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La (nombre de la Institución) reconoce las transferencias entre los niveles de la jerarquía del valor razonable al final del periodo sobre el que se informa durante el que ocurrió el cambio.</t>
  </si>
  <si>
    <t xml:space="preserve">Nota #5 Base de medición </t>
  </si>
  <si>
    <t>Los Estados Financieros se elaboran sobre la base del costo histórico, sin excepción, en la actualidad los terrenos y edificios están siendo valuados mediante tasaciones realizadas por un experto externo.</t>
  </si>
  <si>
    <t>Instrumentos Financieros</t>
  </si>
  <si>
    <t>Nota #6</t>
  </si>
  <si>
    <t>Resumen de Políticas Contables significativas</t>
  </si>
  <si>
    <t>Aquí se detalla todo lo relacionado con las principales Políticas Contables significativas como podría ser, sin que esta enumeración se considere limitativa.</t>
  </si>
  <si>
    <t>Activos y pasivos financieros no derivados – reconocimiento y baja en cuentas</t>
  </si>
  <si>
    <t>Las cuentas y partidas por cobrar y los otros activos y pasivos financieros,  son reconocidos en el momentos del devengado.</t>
  </si>
  <si>
    <t xml:space="preserve">Activos financieros no derivados – medición </t>
  </si>
  <si>
    <t>Son reconocidos a su valor razonable, más cualquier costo de transacción directamente atribuible o de alguna otra manera.</t>
  </si>
  <si>
    <t xml:space="preserve">Pasivos financieros no derivados – medición </t>
  </si>
  <si>
    <t>Son reconocidos a su valor razonable, menos cualquier costo de transacción directamente atribuible o de alguna otra manera.</t>
  </si>
  <si>
    <t>Inventarios de materiales de oficina</t>
  </si>
  <si>
    <t>La medición es al costo de adquisición.</t>
  </si>
  <si>
    <t>Propiedad, mobiliario y equipos</t>
  </si>
  <si>
    <t xml:space="preserve">Reconocimiento y medición </t>
  </si>
  <si>
    <t xml:space="preserve">Las inversiones en bienes de uso se valúan por su costo de adquisición, de construcción o por un valor equivalente (costo corriente) cuando se reciben sin contraprestación. El costo de adquisición incluye el precio neto pagado por los bienes, más todos los gastos necesarios para colocar el bien en lugar y condiciones de uso. </t>
  </si>
  <si>
    <t>Los costos de construcción incluyen  los  costos  directos e indirectos, incluyendo los costos de administración  de  la  obra,  incurridos  y  devengados  durante  el  período efectivo de la construcción.</t>
  </si>
  <si>
    <t>Los bienes recibidos en donación son contabilizados a valor razonable, representado por el importe de efectivo y otras partidas equivalentes, que debería pagarse  para  adquirirlo en las condiciones en que se encuentren.</t>
  </si>
  <si>
    <t>Los costos de mejoras, reparaciones mayores y rehabilitaciones que extienden la vida útil de los Bienes de Uso, se capitalizan en forma conjunta con el bien existente o por separado cuando ello sea aconsejable,  de  acuerdo  a  la  naturaleza  de la  operación realizada y del bien de que se trate.</t>
  </si>
  <si>
    <t xml:space="preserve">Los bienes inmuebles  son  contabilizados  de  acuerdo  a  la  última  valuación  fiscal conocida, y de no resultar factible su obtención, se recurrirá a su tasación. </t>
  </si>
  <si>
    <t>El método de cálculo para el registro  de  la  Depreciación  es  el  de  Línea  Recta, adoptado como método general aplicable a todo el Sector Público, a  los  fines de su consolidación. El uso de este método representa la distribución sistemática y racional del costo total de  cada  partida  del  activo  fijo  tangible, durante  el  período  de  su aprovechamiento económico, el mismo será aplicado a todos los  bienes  de  uso  de dominio público, con excepción de los terrenos.</t>
  </si>
  <si>
    <t>Reconocimiento de ingresos</t>
  </si>
  <si>
    <t xml:space="preserve">Nuestro sistema de Contabilidad de CORAAMOCA  registra  de  acuerdo  al  plan  de cuentas contables y a los procedimientos de registros adoptados y la ejecución de  los gastos autorizados en nuestros presupuestos imputados en las partidas presupuestales, de conformidad con las normas, criterios y momentos  contables  establecidos  por  la Dirección General de Contabilidad Gubernamental (DIGECOG). </t>
  </si>
  <si>
    <t xml:space="preserve">Las transacciones presupuestarias de gastos se registran en el sistema por el método de partida doble, reconociendo  la  obligación  o  gasto  devengado  y  pagado  o extinción de la obligación. Así mismo, las transacciones relativas a los ingresos se registran en la etapa percibida.    </t>
  </si>
  <si>
    <t xml:space="preserve">Impuesto sobre la renta </t>
  </si>
  <si>
    <t>Corporación del Acueducto y Alcantarillado de Moca (CORAAMOCA) es una entidad gubernamental sin fines de lucro está exenta de pagar impuesto sobre la renta, pero si funciona como agente de retención.</t>
  </si>
  <si>
    <t>Nota #7</t>
  </si>
  <si>
    <t>Efectivo y equivalentes de efectivo.</t>
  </si>
  <si>
    <t>En la institución hay tres caja chica , una para compras por valor de RD$80,000.00 y una para compras en la planta la dura por valor de RD$10,000.00, una para menudo por valor de RD$5,000.00 y tres en los centros de servicios a clientes de Cayetano Germosén, Gaspar Hernández y Veragua por valor de RD$5,000.00 cada uno. Los tres fondo de los centros que fueron asignados,  hace mas de 10 años que con los combios de encargados se perdieron e en este periodo 2025 autorizaron la eliminacion.</t>
  </si>
  <si>
    <t>Hay dos cuentas en el sigef y tres cuentas institucional en el Banreservas</t>
  </si>
  <si>
    <t>DESCRIPCIÓN</t>
  </si>
  <si>
    <t>Diferencia</t>
  </si>
  <si>
    <t>EECTIVO EN CAJA</t>
  </si>
  <si>
    <t>EECTIVO EN CAJA CHICA</t>
  </si>
  <si>
    <t>RESERVAS CTA. 100011701025466 (Progeo)</t>
  </si>
  <si>
    <t>RESERVAS CTA. 100011701027264(Funcional)</t>
  </si>
  <si>
    <t>RESERVAS CTA.100011701024303 (plan de pensión)</t>
  </si>
  <si>
    <t>CUENTA  9604127870 (CUT)</t>
  </si>
  <si>
    <t>CUENTA  9995095001  (CUT)</t>
  </si>
  <si>
    <t xml:space="preserve"> CTA FONDO 100  0100255001 </t>
  </si>
  <si>
    <t>Total Efectivo y equivalentes de efectivo.</t>
  </si>
  <si>
    <t xml:space="preserve"> Nota #8</t>
  </si>
  <si>
    <t>Inversiones a corto plazo</t>
  </si>
  <si>
    <t>Inventarios de Mercancías</t>
  </si>
  <si>
    <t>Deposito a plazo fijo</t>
  </si>
  <si>
    <t>Total Inversiones a corto plazo</t>
  </si>
  <si>
    <t>Nota #9</t>
  </si>
  <si>
    <t>Cuentas por cobrar a corto plazo</t>
  </si>
  <si>
    <t>Cuentas por Cobrar (transferencia del gobierno)</t>
  </si>
  <si>
    <t>Cuentas por Cobrar empleados</t>
  </si>
  <si>
    <t>Total Cuentas y Documentos por Cobrar</t>
  </si>
  <si>
    <t>Notas. El método que utilizamos en el caso de los ingresos es por lo percibido por tal motivo no incluimos la cuenta por cobrar cliente como activo y por ende esta fuera del patrimonio. La razón es que en el tiempo no hemos logrado tener índice de cobro del 100%. por lo que en nuestro sistema comercial la cuenta por cobrar no cuenta con un monto razonable. Con relación a la cuenta por cobrar empleados la institución anulara esta cuenta en el próximo periodo contable.</t>
  </si>
  <si>
    <t>Nota # 10</t>
  </si>
  <si>
    <t>Inventario</t>
  </si>
  <si>
    <t>Inventarios Materiales y suministros para consumo y prestación de servicios</t>
  </si>
  <si>
    <t>Total en Inventario</t>
  </si>
  <si>
    <t>Nota # 11</t>
  </si>
  <si>
    <t>Pagos anticipados</t>
  </si>
  <si>
    <t>Seguros bienes muebles balance inicial</t>
  </si>
  <si>
    <t>Adquisición de seguros</t>
  </si>
  <si>
    <t>Gasto por seguros consumido</t>
  </si>
  <si>
    <t>Seguros bienes muebles</t>
  </si>
  <si>
    <t>Total Pagos anticipados</t>
  </si>
  <si>
    <t>Nota # 12</t>
  </si>
  <si>
    <t>Otros activos corrientes</t>
  </si>
  <si>
    <t>Centro de  Servicio al Cliente</t>
  </si>
  <si>
    <t>Doc. Sustento</t>
  </si>
  <si>
    <t>Deposito</t>
  </si>
  <si>
    <t>Valor</t>
  </si>
  <si>
    <t>JAMAO AL NORTE</t>
  </si>
  <si>
    <t>C00056565</t>
  </si>
  <si>
    <t>VERAGUA</t>
  </si>
  <si>
    <t>CK0064857</t>
  </si>
  <si>
    <t>JUAN LOPEZ</t>
  </si>
  <si>
    <t>CK0069795</t>
  </si>
  <si>
    <t>LAS LAGUNAS</t>
  </si>
  <si>
    <t>CK0069773</t>
  </si>
  <si>
    <t>CANCA LA REYNA</t>
  </si>
  <si>
    <t>C00047490</t>
  </si>
  <si>
    <t>VILLA TRINA</t>
  </si>
  <si>
    <t>CKC0077938</t>
  </si>
  <si>
    <t>HIGUERITO</t>
  </si>
  <si>
    <t>CKC0070977</t>
  </si>
  <si>
    <t>HINCHA</t>
  </si>
  <si>
    <t>CKC0071686</t>
  </si>
  <si>
    <t>TOTAL DE FIANZA</t>
  </si>
  <si>
    <t xml:space="preserve">Depósitos </t>
  </si>
  <si>
    <t>Total Otros activos corrientes</t>
  </si>
  <si>
    <t>Propiedad planta y equipo</t>
  </si>
  <si>
    <r>
      <t>L</t>
    </r>
    <r>
      <rPr>
        <sz val="11"/>
        <color indexed="8"/>
        <rFont val="Times New Roman"/>
        <family val="1"/>
      </rPr>
      <t>os balances de las cuentas de Propiedad planta y equipo están integrados por los valores históricos registrados.</t>
    </r>
  </si>
  <si>
    <t xml:space="preserve">La depreciación de los activos que ha establecido la DIGECOG es  el  método lineal, la  institución  realizo ajustes de  depreciación en el periodos 2023 para armonizar con bienes nacionales el valor en libro de los bienes mueble, los valores históricos iniciales es diferente en vista de que cuando se implemento el control de bienes en el SIAB no se  partió del valor en libro inicialmente. </t>
  </si>
  <si>
    <t>Ver matriz Anexo libro nota13</t>
  </si>
  <si>
    <t xml:space="preserve">DESCRIPCION </t>
  </si>
  <si>
    <t>ACTIVOS NO FINANCIEROS</t>
  </si>
  <si>
    <t xml:space="preserve">Maquinaria y Equipos de producción </t>
  </si>
  <si>
    <t xml:space="preserve">Costos de adquisición  </t>
  </si>
  <si>
    <t>Adiciones</t>
  </si>
  <si>
    <t>Retiros</t>
  </si>
  <si>
    <t>Depreciación Acumulada</t>
  </si>
  <si>
    <t>Depreciación del periodo</t>
  </si>
  <si>
    <t xml:space="preserve">TOTAL MAQUINARIAS Y EQUIPOS </t>
  </si>
  <si>
    <t>DEPRECIACION MAQUINARIAS Y EQUIPOS</t>
  </si>
  <si>
    <t>TOTAL DE MAQUINARIAS Y EQUIPOS MENOS DEPRECIACION</t>
  </si>
  <si>
    <t>EQUIPO DE TRANSPORTE, TRACCION Y ELEVACION</t>
  </si>
  <si>
    <t>TOTAL EQUIPO DE TRANSPORTE, TRACCION Y ELEVACION</t>
  </si>
  <si>
    <t>DEPRE. EQUIPO DE TRANSP., TRACCION Y ELEVACION</t>
  </si>
  <si>
    <t>TOTAL EQUIPO DE TRANSP., TRACCION Y ELEVACION MENOS DEPRE.</t>
  </si>
  <si>
    <t>EQUIPO DE COMUNICACIÓN Y SEÑALAMIENTO</t>
  </si>
  <si>
    <t>TOTAL EQUIPO DE COMUNICACIÓN Y SEÑALAMIENTO</t>
  </si>
  <si>
    <t>DEPRECIACION EQUIPO DE COM. Y SEÑALAMIENTO</t>
  </si>
  <si>
    <t>TOTAL DE EQUIPO DE COM. Y SEÑAL MENOS DEPRECIACION</t>
  </si>
  <si>
    <t>EQUIPO Y MUEBLES DE OFICINA</t>
  </si>
  <si>
    <t>TOTAL EQUIPO Y MUEBLES DE OFICINA</t>
  </si>
  <si>
    <t>DEPRECIACIONEQUIPO DE EQUIPO Y MUEBLES DE OFICINA</t>
  </si>
  <si>
    <t>TOTAL DE EQUIPO Y MUEBLES DE OFICINA MENOS DEPRE.</t>
  </si>
  <si>
    <t>CONSTRUCCIONES Y MEJORAS</t>
  </si>
  <si>
    <t>Obras Urbanísticas</t>
  </si>
  <si>
    <t>Obras Construcciones y Mejoras</t>
  </si>
  <si>
    <t>TOTAL CONSTRUCCIONES Y MEJORAS</t>
  </si>
  <si>
    <t>DEPRECIACION CONSTRUCCIONES Y MEJORAS</t>
  </si>
  <si>
    <t>TOTAL DE CONSTRUCCIONES Y MEJORAS MENOS DEPRE.</t>
  </si>
  <si>
    <t>Terreno</t>
  </si>
  <si>
    <t>TOTAL INMUEBLES</t>
  </si>
  <si>
    <t>Edificaciones</t>
  </si>
  <si>
    <t>TOTAL EDIFICACIONES</t>
  </si>
  <si>
    <t>DEPRECIACION INMUEBLES</t>
  </si>
  <si>
    <t>TOTAL DE INMUEBLES MENOS DEPRECIACION</t>
  </si>
  <si>
    <t>OTROS BIENES DE USO</t>
  </si>
  <si>
    <t>Supervisión e Inspección de Obras</t>
  </si>
  <si>
    <t>TOTAL OTROS BIENES DE USO</t>
  </si>
  <si>
    <t>DEPRECIACION OTROS BIENES DE USO</t>
  </si>
  <si>
    <t>TOTAL DE OTROS BIENES DE USO MENOS DEPRECIACION</t>
  </si>
  <si>
    <t>ACTIVOS INTANGIBLES</t>
  </si>
  <si>
    <t>Activo Intangible</t>
  </si>
  <si>
    <t>Licencias Informáticas</t>
  </si>
  <si>
    <t>Programas de Computación</t>
  </si>
  <si>
    <t>TOTAL ACTIVOS INTANGIBLES</t>
  </si>
  <si>
    <t>DEPRECIACIONACTIVOS INTANGIBLES</t>
  </si>
  <si>
    <t>TOTAL DE ACTIVOS INTANGIBLES MENOS DEPRECIACION</t>
  </si>
  <si>
    <t xml:space="preserve">TOTAL DE BIENES EN USO </t>
  </si>
  <si>
    <t>TOTAL DEPRECIACION ACUMULADA</t>
  </si>
  <si>
    <t>TOTAL ACTIVOS NO CORRIENTES</t>
  </si>
  <si>
    <t>Nota #  13</t>
  </si>
  <si>
    <t xml:space="preserve">Activos Intangible </t>
  </si>
  <si>
    <t>Programa informáticos (1 año)</t>
  </si>
  <si>
    <t>Amortización Programa informáticos</t>
  </si>
  <si>
    <t>Total</t>
  </si>
  <si>
    <t>Nota # 15</t>
  </si>
  <si>
    <t>Cuentas por pagar a corto plazo</t>
  </si>
  <si>
    <t xml:space="preserve"> ** Otras Cuentas por pagar están integrada por  Otro proveedores directo a pagar a corto plazo y  cuenta por pagar usos internos,  por cheques anulados  fuera de fecha que no ha sido reclamado, en el 2025 se autorizo la eliminacion.</t>
  </si>
  <si>
    <t xml:space="preserve">   </t>
  </si>
  <si>
    <t>Cuenta</t>
  </si>
  <si>
    <t>VARIACION</t>
  </si>
  <si>
    <t>Cuentas por pagar Suplidores (anexos)</t>
  </si>
  <si>
    <t>Cuentas por pagar Suplidores Gobierno (anexos)</t>
  </si>
  <si>
    <t>Otras Cuentas por pagar **</t>
  </si>
  <si>
    <t>Total Cuentas por pagar a corto plazo</t>
  </si>
  <si>
    <t>Relación de Cuentas por pagar a suplidores anexos</t>
  </si>
  <si>
    <t>Nota # 16 Préstamo a corto plazo</t>
  </si>
  <si>
    <t>Documentos por pagar</t>
  </si>
  <si>
    <t>TOTAL</t>
  </si>
  <si>
    <t>Cambio porcentual con relación al 2022</t>
  </si>
  <si>
    <t>Nota # 16</t>
  </si>
  <si>
    <t>Retenciones y Acumulaciones  por pagar</t>
  </si>
  <si>
    <t>Acumulaciones por pagar</t>
  </si>
  <si>
    <r>
      <t xml:space="preserve">Deducciones al personal </t>
    </r>
    <r>
      <rPr>
        <sz val="11"/>
        <color indexed="8"/>
        <rFont val="Times New Roman"/>
        <family val="1"/>
      </rPr>
      <t>(Histórico Antiguo PP)</t>
    </r>
  </si>
  <si>
    <t>Nomina por pagar</t>
  </si>
  <si>
    <t>Total Acumulaciones por pagar</t>
  </si>
  <si>
    <t>Retenciones por pagar</t>
  </si>
  <si>
    <t>Ret. Impos. Por Pagar Isr Ir-3</t>
  </si>
  <si>
    <t>Retenciones Por Pagar Dgii Acuerdos</t>
  </si>
  <si>
    <t>Ret Imposit Por Pagar Ir 17 (5%)</t>
  </si>
  <si>
    <t>Ret Imposit Por Pagar Ir 17 (10%)</t>
  </si>
  <si>
    <t>Ret Imposit Por Pagar Ir 17 10% Alquiler</t>
  </si>
  <si>
    <t>Ret. P/Seguro Complementario</t>
  </si>
  <si>
    <t>Ret Imposit Por Pagar Itbis</t>
  </si>
  <si>
    <t>Total Retenciones por pagar</t>
  </si>
  <si>
    <t>Total retenciones y acumulaciones</t>
  </si>
  <si>
    <t>Nota # 17</t>
  </si>
  <si>
    <t>Activos Netos/Patrimonio</t>
  </si>
  <si>
    <t>Capital</t>
  </si>
  <si>
    <t>Resultados acumulado</t>
  </si>
  <si>
    <t>Ajuste al Resultados periodo anterior</t>
  </si>
  <si>
    <t xml:space="preserve">Resultado Neto del Período </t>
  </si>
  <si>
    <t>Total Patrimonio Institucional</t>
  </si>
  <si>
    <t>El ajuste al resultado anterior se generó por anulaciones de cheques y otros ajustes.</t>
  </si>
  <si>
    <t>Ingresos por transacciones con contraprestaciones</t>
  </si>
  <si>
    <t>AÑOS</t>
  </si>
  <si>
    <t>Ventas de servicios de APS</t>
  </si>
  <si>
    <t>Ingresos recibidos por certificado financieros</t>
  </si>
  <si>
    <t>Total de Ingresos por transacciones con contraprestaciones</t>
  </si>
  <si>
    <t>Nota # 18</t>
  </si>
  <si>
    <t xml:space="preserve">Transferencias y donaciones </t>
  </si>
  <si>
    <t>Transferencias Recibidas:</t>
  </si>
  <si>
    <t>Transferencias de la Adm. Central: corriente</t>
  </si>
  <si>
    <t>Transferencias de la Adm. Central: capital</t>
  </si>
  <si>
    <t>Transferencias de la Adm. Central: energía no cortable</t>
  </si>
  <si>
    <t>Transferencias recibidas fuera de circuito</t>
  </si>
  <si>
    <t xml:space="preserve">Total de Transferencia y donaciones </t>
  </si>
  <si>
    <t>Corriente</t>
  </si>
  <si>
    <t>Energía no cortable</t>
  </si>
  <si>
    <t>Enero</t>
  </si>
  <si>
    <t>Febrero</t>
  </si>
  <si>
    <t>Marzo</t>
  </si>
  <si>
    <t>Abril</t>
  </si>
  <si>
    <t>Mayo</t>
  </si>
  <si>
    <t>Junio</t>
  </si>
  <si>
    <t>Julio</t>
  </si>
  <si>
    <t>Agosto</t>
  </si>
  <si>
    <t>Septiembre</t>
  </si>
  <si>
    <t>Octubre</t>
  </si>
  <si>
    <t>Noviembre</t>
  </si>
  <si>
    <t>Diciembre</t>
  </si>
  <si>
    <t>Total aportes corrientes 2024</t>
  </si>
  <si>
    <t>Total aportes de capital 2024</t>
  </si>
  <si>
    <t>En el mes de diciembre 2024 la institución recibió a parte de la transferencia corriente normal  el cheque No. 070900 de la presidencia de la republica, para gasto corriente por valor de RD$4,235,517.00</t>
  </si>
  <si>
    <t xml:space="preserve"> Nota # 19</t>
  </si>
  <si>
    <t>Sueldos, Salarios y beneficios a empleados</t>
  </si>
  <si>
    <t>Sueldos para cargos Fijos</t>
  </si>
  <si>
    <t>Sueldos personal temporero y contratado</t>
  </si>
  <si>
    <t>Sobresueldos (compensación por hora extraordinario ,compensación por resultado, prima de transp., incentivos por rendimiento)</t>
  </si>
  <si>
    <t>Jornales</t>
  </si>
  <si>
    <t>Dietas y Gastos de Representación</t>
  </si>
  <si>
    <t>Gratificaciones y Bonificaciones</t>
  </si>
  <si>
    <t xml:space="preserve"> Indemnización Laboral</t>
  </si>
  <si>
    <t>Contribución al seguro de salud</t>
  </si>
  <si>
    <t>Contribución al seguro pensión</t>
  </si>
  <si>
    <t>Contribución al seguro riesgo laboral</t>
  </si>
  <si>
    <t>Total Sueldos, Salarios y beneficios a empleados</t>
  </si>
  <si>
    <t>Nota # 20</t>
  </si>
  <si>
    <t>Subvenciones y otros pagos por transferencias</t>
  </si>
  <si>
    <t>PARTIDAS</t>
  </si>
  <si>
    <t xml:space="preserve">Transferencias al Sector Privado  </t>
  </si>
  <si>
    <t>Total Subvenciones y otros pagos por transferencias</t>
  </si>
  <si>
    <t>Nota # 21</t>
  </si>
  <si>
    <t>Suministro y materiales para consumo</t>
  </si>
  <si>
    <t>Alimentos y productos agroforestales</t>
  </si>
  <si>
    <t>Textiles y vestuarios</t>
  </si>
  <si>
    <t xml:space="preserve">Productos de papel, cartón e impresos   </t>
  </si>
  <si>
    <t>Combustibles, lubricantes</t>
  </si>
  <si>
    <t>Productos químicos y conexos</t>
  </si>
  <si>
    <t>Productos y útiles varios</t>
  </si>
  <si>
    <t>Variación en el Inventario</t>
  </si>
  <si>
    <t>Total Suministro y materiales para consumo</t>
  </si>
  <si>
    <t>Nota # 22</t>
  </si>
  <si>
    <t>Gasto de Depreciación y Amortización</t>
  </si>
  <si>
    <t>Depreciación</t>
  </si>
  <si>
    <t>Amortización</t>
  </si>
  <si>
    <t xml:space="preserve">Total </t>
  </si>
  <si>
    <t>Nota # 23</t>
  </si>
  <si>
    <t xml:space="preserve">Otros gastos </t>
  </si>
  <si>
    <t>PARTIDA</t>
  </si>
  <si>
    <t>Servicios básicos</t>
  </si>
  <si>
    <t>Electricidad</t>
  </si>
  <si>
    <t>Publicidad, impresión y encuadernación</t>
  </si>
  <si>
    <t>Viáticos</t>
  </si>
  <si>
    <t>Transporte y almacenaje</t>
  </si>
  <si>
    <t>Alquileres y rentas</t>
  </si>
  <si>
    <t>Seguros</t>
  </si>
  <si>
    <t>Servicios de conservación, reparaciones menores e instalaciones temporales</t>
  </si>
  <si>
    <t>Otros servicios no incluidos en conceptos anteriores</t>
  </si>
  <si>
    <t>Total Otros gastos</t>
  </si>
  <si>
    <t xml:space="preserve"> </t>
  </si>
  <si>
    <t>Nota # 24</t>
  </si>
  <si>
    <t xml:space="preserve">Gastos Financieros </t>
  </si>
  <si>
    <t>Comisiones y gastos bancarios</t>
  </si>
  <si>
    <t>Intereses</t>
  </si>
  <si>
    <t xml:space="preserve">Total Gastos Financieros </t>
  </si>
  <si>
    <t>Nota # 25</t>
  </si>
  <si>
    <t>Compromisos y contingencias</t>
  </si>
  <si>
    <t>Clientes Gubernamentales</t>
  </si>
  <si>
    <t>Clientes privados</t>
  </si>
  <si>
    <t>Total Compromisos y contingencias</t>
  </si>
  <si>
    <t>Notas. El método que utilizamos en el caso de los ingresos es por lo percibido por tal motivo no incluimos la cuenta por cobrar cliente en las informaciones.   La razón es que en el tiempo no hemos logrado tener índice de cobro del 100%. por lo que no lograremos disminuir.</t>
  </si>
  <si>
    <t>COMERCIAL</t>
  </si>
  <si>
    <t>ESPECIAL</t>
  </si>
  <si>
    <t>PUBLICO</t>
  </si>
  <si>
    <t>RESIDENCIAL</t>
  </si>
  <si>
    <t>SIN DATOS</t>
  </si>
  <si>
    <t xml:space="preserve">TOTAL </t>
  </si>
  <si>
    <t>HOTELES</t>
  </si>
  <si>
    <t>INDUSTRIAL</t>
  </si>
  <si>
    <t>TOTAL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</si>
</sst>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_);\(0\)"/>
    <numFmt numFmtId="165" formatCode="&quot;RD$&quot;#,##0.00;[Red]\-&quot;RD$&quot;#,##0.00"/>
  </numFmts>
  <fonts count="17" x14ac:knownFonts="1">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1"/>
      <name val="Times New Roman"/>
      <family val="1"/>
    </font>
    <font>
      <sz val="11"/>
      <name val="Times New Roman"/>
      <family val="1"/>
    </font>
    <font>
      <sz val="11"/>
      <color rgb="FF000000"/>
      <name val="Times New Roman"/>
      <family val="1"/>
    </font>
    <font>
      <sz val="11"/>
      <color rgb="FFFF0000"/>
      <name val="Times New Roman"/>
      <family val="1"/>
    </font>
    <font>
      <b/>
      <sz val="11"/>
      <color rgb="FF000000"/>
      <name val="Times New Roman"/>
      <family val="1"/>
    </font>
    <font>
      <b/>
      <sz val="11"/>
      <color theme="0" tint="-0.249977111117893"/>
      <name val="Times New Roman"/>
      <family val="1"/>
    </font>
    <font>
      <sz val="11"/>
      <color indexed="8"/>
      <name val="Times New Roman"/>
      <family val="1"/>
    </font>
    <font>
      <b/>
      <sz val="11"/>
      <color rgb="FFFF0000"/>
      <name val="Times New Roman"/>
      <family val="1"/>
    </font>
    <font>
      <b/>
      <sz val="11"/>
      <color theme="0" tint="-4.9989318521683403E-2"/>
      <name val="Times New Roman"/>
      <family val="1"/>
    </font>
    <font>
      <sz val="11"/>
      <color theme="0" tint="-0.249977111117893"/>
      <name val="Times New Roman"/>
      <family val="1"/>
    </font>
    <font>
      <b/>
      <sz val="11"/>
      <color theme="0" tint="-0.14999847407452621"/>
      <name val="Times New Roman"/>
      <family val="1"/>
    </font>
    <font>
      <b/>
      <sz val="9"/>
      <color indexed="81"/>
      <name val="Tahoma"/>
      <family val="2"/>
    </font>
    <font>
      <sz val="9"/>
      <color indexed="81"/>
      <name val="Tahoma"/>
      <family val="2"/>
    </font>
  </fonts>
  <fills count="10">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theme="0"/>
        <bgColor indexed="64"/>
      </patternFill>
    </fill>
    <fill>
      <patternFill patternType="solid">
        <fgColor rgb="FFFFFFFF"/>
        <bgColor indexed="64"/>
      </patternFill>
    </fill>
    <fill>
      <patternFill patternType="solid">
        <fgColor rgb="FFD9D9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269">
    <xf numFmtId="0" fontId="0" fillId="0" borderId="0" xfId="0"/>
    <xf numFmtId="0" fontId="2" fillId="0" borderId="0" xfId="0" applyFont="1" applyAlignment="1">
      <alignment horizontal="center"/>
    </xf>
    <xf numFmtId="0" fontId="2" fillId="0" borderId="0" xfId="0" applyFont="1" applyAlignment="1">
      <alignment horizontal="center"/>
    </xf>
    <xf numFmtId="43" fontId="2" fillId="0" borderId="0" xfId="1" applyFont="1" applyAlignment="1">
      <alignment horizontal="center"/>
    </xf>
    <xf numFmtId="0" fontId="3" fillId="0" borderId="0" xfId="0" applyFont="1"/>
    <xf numFmtId="0" fontId="2" fillId="0" borderId="0" xfId="0" applyFont="1" applyAlignment="1">
      <alignment horizontal="left" vertical="center" wrapText="1"/>
    </xf>
    <xf numFmtId="0" fontId="2" fillId="0" borderId="0" xfId="0" applyFont="1" applyAlignment="1">
      <alignment vertical="center"/>
    </xf>
    <xf numFmtId="43" fontId="3" fillId="0" borderId="0" xfId="1" applyFont="1"/>
    <xf numFmtId="0" fontId="4" fillId="0" borderId="0" xfId="0" applyFont="1" applyAlignment="1">
      <alignment vertical="center"/>
    </xf>
    <xf numFmtId="0" fontId="3" fillId="0" borderId="0" xfId="0" applyFont="1" applyFill="1"/>
    <xf numFmtId="0" fontId="2" fillId="0" borderId="0" xfId="0" applyFont="1" applyAlignment="1">
      <alignment horizontal="justify" vertical="center" wrapText="1"/>
    </xf>
    <xf numFmtId="0" fontId="2" fillId="0" borderId="0" xfId="0" applyFont="1" applyAlignment="1">
      <alignment horizontal="left" vertical="center"/>
    </xf>
    <xf numFmtId="0" fontId="3" fillId="0" borderId="0" xfId="0" applyFont="1" applyAlignment="1">
      <alignment horizontal="justify" vertical="center" wrapText="1"/>
    </xf>
    <xf numFmtId="0" fontId="5"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wrapText="1"/>
    </xf>
    <xf numFmtId="0" fontId="3" fillId="0" borderId="0" xfId="0" applyFont="1" applyFill="1" applyBorder="1" applyAlignment="1">
      <alignment wrapText="1"/>
    </xf>
    <xf numFmtId="0" fontId="3"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43" fontId="6" fillId="0" borderId="0" xfId="1" applyFont="1" applyAlignment="1">
      <alignment horizontal="left" vertical="center" wrapText="1"/>
    </xf>
    <xf numFmtId="0" fontId="5" fillId="0" borderId="0" xfId="0" applyFont="1" applyFill="1" applyAlignment="1">
      <alignment horizontal="left" vertical="center" wrapText="1"/>
    </xf>
    <xf numFmtId="0" fontId="3" fillId="2" borderId="0" xfId="0" applyFont="1" applyFill="1" applyAlignment="1">
      <alignment horizontal="left" vertical="center" wrapText="1"/>
    </xf>
    <xf numFmtId="0" fontId="3" fillId="0" borderId="0" xfId="0" applyFont="1" applyFill="1" applyAlignment="1">
      <alignment horizontal="left" vertical="center" wrapText="1"/>
    </xf>
    <xf numFmtId="43" fontId="3" fillId="0" borderId="0" xfId="1" applyFont="1" applyFill="1" applyAlignment="1">
      <alignment horizontal="left" vertical="center" wrapText="1"/>
    </xf>
    <xf numFmtId="0" fontId="3" fillId="0" borderId="0" xfId="0" applyFont="1" applyFill="1" applyAlignment="1">
      <alignment horizontal="left" vertical="center" wrapText="1"/>
    </xf>
    <xf numFmtId="0" fontId="2" fillId="0" borderId="0" xfId="0" applyFont="1" applyFill="1" applyAlignment="1">
      <alignment horizontal="left" vertical="center" wrapText="1"/>
    </xf>
    <xf numFmtId="0" fontId="7" fillId="0" borderId="0" xfId="0" applyFont="1" applyAlignment="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64" fontId="4" fillId="3"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justify" vertical="center" wrapText="1"/>
    </xf>
    <xf numFmtId="43" fontId="6" fillId="0" borderId="1" xfId="1" applyFont="1" applyBorder="1" applyAlignment="1">
      <alignment horizontal="right" vertical="center"/>
    </xf>
    <xf numFmtId="43" fontId="6" fillId="0" borderId="1" xfId="1" applyFont="1" applyBorder="1" applyAlignment="1">
      <alignment horizontal="right" vertical="center" wrapText="1"/>
    </xf>
    <xf numFmtId="43" fontId="5" fillId="0" borderId="1" xfId="1" applyFont="1" applyBorder="1" applyAlignment="1">
      <alignment horizontal="right"/>
    </xf>
    <xf numFmtId="0" fontId="6" fillId="0" borderId="1" xfId="0" applyFont="1" applyBorder="1" applyAlignment="1">
      <alignment horizontal="left" vertical="center" wrapText="1"/>
    </xf>
    <xf numFmtId="43" fontId="5" fillId="0" borderId="1" xfId="1" applyFont="1" applyBorder="1" applyAlignment="1"/>
    <xf numFmtId="0" fontId="3" fillId="0" borderId="1" xfId="0" applyFont="1" applyBorder="1" applyAlignment="1">
      <alignment vertical="center"/>
    </xf>
    <xf numFmtId="43" fontId="3" fillId="0" borderId="1" xfId="1" applyFont="1" applyBorder="1"/>
    <xf numFmtId="0" fontId="3" fillId="0" borderId="0" xfId="0" applyFont="1" applyBorder="1"/>
    <xf numFmtId="0" fontId="8" fillId="3" borderId="1" xfId="0" applyFont="1" applyFill="1" applyBorder="1" applyAlignment="1">
      <alignment vertical="center"/>
    </xf>
    <xf numFmtId="4" fontId="8" fillId="3"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8" fillId="3" borderId="0" xfId="0" applyFont="1" applyFill="1" applyBorder="1" applyAlignment="1">
      <alignment horizontal="center" vertical="center"/>
    </xf>
    <xf numFmtId="43" fontId="9" fillId="3" borderId="0" xfId="1" applyFont="1" applyFill="1" applyBorder="1" applyAlignment="1">
      <alignment horizontal="center" vertical="center"/>
    </xf>
    <xf numFmtId="43" fontId="8" fillId="3" borderId="0" xfId="1" applyFont="1" applyFill="1" applyBorder="1" applyAlignment="1">
      <alignment horizontal="center" vertical="center"/>
    </xf>
    <xf numFmtId="4" fontId="4" fillId="3" borderId="0" xfId="0" applyNumberFormat="1" applyFont="1" applyFill="1" applyBorder="1" applyAlignment="1">
      <alignment horizontal="center" vertical="center"/>
    </xf>
    <xf numFmtId="0" fontId="4" fillId="0" borderId="2" xfId="0" applyFont="1" applyBorder="1" applyAlignment="1">
      <alignment horizontal="left" wrapText="1"/>
    </xf>
    <xf numFmtId="0" fontId="4" fillId="0" borderId="3" xfId="0" applyFont="1" applyBorder="1" applyAlignment="1">
      <alignment horizontal="left" wrapText="1"/>
    </xf>
    <xf numFmtId="43" fontId="2" fillId="0" borderId="1" xfId="1" applyFont="1" applyBorder="1" applyAlignment="1">
      <alignment horizontal="right" wrapText="1"/>
    </xf>
    <xf numFmtId="10" fontId="4" fillId="0" borderId="1" xfId="0" applyNumberFormat="1" applyFont="1" applyBorder="1"/>
    <xf numFmtId="0" fontId="4" fillId="0" borderId="0" xfId="0" applyFont="1" applyBorder="1" applyAlignment="1">
      <alignment horizontal="left" wrapText="1"/>
    </xf>
    <xf numFmtId="43" fontId="2" fillId="0" borderId="0" xfId="1" applyFont="1" applyBorder="1" applyAlignment="1">
      <alignment horizontal="right" wrapText="1"/>
    </xf>
    <xf numFmtId="10" fontId="4" fillId="0" borderId="0" xfId="0" applyNumberFormat="1" applyFont="1" applyBorder="1"/>
    <xf numFmtId="0" fontId="2" fillId="0" borderId="0" xfId="0" applyFont="1" applyBorder="1" applyAlignment="1">
      <alignment horizontal="left" wrapText="1"/>
    </xf>
    <xf numFmtId="10" fontId="2" fillId="0" borderId="0" xfId="0" applyNumberFormat="1" applyFont="1" applyBorder="1"/>
    <xf numFmtId="0" fontId="2" fillId="0" borderId="0" xfId="0" applyFont="1" applyAlignment="1">
      <alignment horizontal="left"/>
    </xf>
    <xf numFmtId="0" fontId="2" fillId="0" borderId="0" xfId="0" applyFont="1"/>
    <xf numFmtId="0" fontId="5" fillId="0" borderId="1" xfId="0" applyFont="1" applyBorder="1" applyAlignment="1">
      <alignment horizontal="left" vertical="center" wrapText="1"/>
    </xf>
    <xf numFmtId="4" fontId="5" fillId="0" borderId="4" xfId="0" applyNumberFormat="1" applyFont="1" applyBorder="1" applyAlignment="1">
      <alignment horizontal="right" vertical="center"/>
    </xf>
    <xf numFmtId="43" fontId="5" fillId="0" borderId="4" xfId="1" applyFont="1" applyBorder="1" applyAlignment="1">
      <alignment horizontal="right" vertical="center" wrapText="1"/>
    </xf>
    <xf numFmtId="4" fontId="5" fillId="0" borderId="0" xfId="0" applyNumberFormat="1" applyFont="1"/>
    <xf numFmtId="4" fontId="5" fillId="0" borderId="1" xfId="0" applyNumberFormat="1" applyFont="1" applyBorder="1" applyAlignment="1">
      <alignment horizontal="right" vertical="center"/>
    </xf>
    <xf numFmtId="43" fontId="5" fillId="0" borderId="1" xfId="1" applyFont="1" applyBorder="1" applyAlignment="1">
      <alignment horizontal="right" vertical="center"/>
    </xf>
    <xf numFmtId="4" fontId="5" fillId="0" borderId="1" xfId="0" applyNumberFormat="1" applyFont="1" applyBorder="1"/>
    <xf numFmtId="0" fontId="4" fillId="3" borderId="1" xfId="0" applyFont="1" applyFill="1" applyBorder="1" applyAlignment="1">
      <alignment horizontal="left" vertical="center" wrapText="1"/>
    </xf>
    <xf numFmtId="43" fontId="4" fillId="3" borderId="1" xfId="1" applyFont="1" applyFill="1" applyBorder="1" applyAlignment="1">
      <alignment horizontal="right" vertical="center"/>
    </xf>
    <xf numFmtId="0" fontId="4" fillId="3" borderId="0" xfId="0" applyFont="1" applyFill="1" applyBorder="1" applyAlignment="1">
      <alignment horizontal="left" vertical="center" wrapText="1"/>
    </xf>
    <xf numFmtId="4" fontId="4" fillId="3" borderId="0" xfId="0" applyNumberFormat="1" applyFont="1" applyFill="1" applyBorder="1" applyAlignment="1">
      <alignment horizontal="right" vertical="center"/>
    </xf>
    <xf numFmtId="43" fontId="4" fillId="3" borderId="0" xfId="1" applyFont="1" applyFill="1" applyBorder="1" applyAlignment="1">
      <alignment horizontal="right" vertical="center"/>
    </xf>
    <xf numFmtId="43" fontId="4" fillId="0" borderId="1" xfId="1" applyFont="1" applyBorder="1" applyAlignment="1">
      <alignment horizontal="right" wrapText="1"/>
    </xf>
    <xf numFmtId="0" fontId="3" fillId="4" borderId="0" xfId="0" applyFont="1" applyFill="1"/>
    <xf numFmtId="0" fontId="3" fillId="4" borderId="0" xfId="0" applyFont="1" applyFill="1" applyAlignment="1">
      <alignment horizontal="left" vertical="center" wrapText="1"/>
    </xf>
    <xf numFmtId="4" fontId="3" fillId="0" borderId="4" xfId="0" applyNumberFormat="1" applyFont="1" applyBorder="1" applyAlignment="1">
      <alignment horizontal="right" vertical="center"/>
    </xf>
    <xf numFmtId="43" fontId="6" fillId="0" borderId="4" xfId="1" applyFont="1" applyBorder="1" applyAlignment="1">
      <alignment horizontal="right" vertical="center" wrapText="1"/>
    </xf>
    <xf numFmtId="4" fontId="3" fillId="0" borderId="1" xfId="0" applyNumberFormat="1" applyFont="1" applyBorder="1"/>
    <xf numFmtId="4" fontId="3" fillId="0" borderId="1" xfId="0" applyNumberFormat="1" applyFont="1" applyBorder="1" applyAlignment="1">
      <alignment horizontal="right" vertical="center"/>
    </xf>
    <xf numFmtId="0" fontId="8" fillId="3"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4" fontId="9" fillId="0" borderId="0" xfId="0" applyNumberFormat="1" applyFont="1" applyFill="1" applyBorder="1" applyAlignment="1">
      <alignment horizontal="right" vertical="center"/>
    </xf>
    <xf numFmtId="43" fontId="8" fillId="0" borderId="0" xfId="1" applyFont="1" applyFill="1" applyBorder="1" applyAlignment="1">
      <alignment horizontal="right" vertical="center"/>
    </xf>
    <xf numFmtId="4" fontId="8" fillId="0" borderId="0" xfId="0" applyNumberFormat="1" applyFont="1" applyFill="1" applyBorder="1" applyAlignment="1">
      <alignment horizontal="right" vertical="center"/>
    </xf>
    <xf numFmtId="10" fontId="2" fillId="0" borderId="1" xfId="0" applyNumberFormat="1" applyFont="1" applyBorder="1"/>
    <xf numFmtId="0" fontId="3" fillId="0" borderId="0" xfId="0" applyFont="1" applyAlignment="1">
      <alignment vertical="center" wrapText="1"/>
    </xf>
    <xf numFmtId="0" fontId="3" fillId="0" borderId="0" xfId="0" applyFont="1" applyFill="1" applyAlignment="1">
      <alignment horizontal="left" wrapText="1"/>
    </xf>
    <xf numFmtId="4" fontId="3" fillId="0" borderId="0" xfId="0" applyNumberFormat="1" applyFont="1"/>
    <xf numFmtId="43" fontId="3" fillId="0" borderId="1" xfId="1" applyFont="1" applyBorder="1" applyAlignment="1">
      <alignment horizontal="right" vertical="center"/>
    </xf>
    <xf numFmtId="4" fontId="3" fillId="0" borderId="0" xfId="0" applyNumberFormat="1" applyFont="1" applyAlignment="1">
      <alignment vertical="center"/>
    </xf>
    <xf numFmtId="43" fontId="8" fillId="3" borderId="1" xfId="1" applyFont="1" applyFill="1" applyBorder="1" applyAlignment="1">
      <alignment horizontal="right" vertical="center"/>
    </xf>
    <xf numFmtId="43" fontId="9" fillId="0" borderId="0" xfId="1" applyFont="1" applyFill="1" applyBorder="1" applyAlignment="1">
      <alignment horizontal="right" vertical="center"/>
    </xf>
    <xf numFmtId="43" fontId="3" fillId="0" borderId="0" xfId="1" applyFont="1" applyAlignment="1">
      <alignment horizontal="left" vertical="center" wrapText="1"/>
    </xf>
    <xf numFmtId="4" fontId="3" fillId="0" borderId="1" xfId="0" applyNumberFormat="1" applyFont="1" applyFill="1" applyBorder="1" applyAlignment="1">
      <alignment horizontal="right" vertical="center"/>
    </xf>
    <xf numFmtId="39" fontId="3" fillId="0" borderId="1" xfId="0" applyNumberFormat="1" applyFont="1" applyBorder="1" applyAlignment="1">
      <alignment horizontal="right" vertical="center"/>
    </xf>
    <xf numFmtId="4" fontId="2" fillId="0" borderId="1" xfId="0" applyNumberFormat="1" applyFont="1" applyBorder="1"/>
    <xf numFmtId="0" fontId="8" fillId="3" borderId="0" xfId="0" applyFont="1" applyFill="1" applyBorder="1" applyAlignment="1">
      <alignment horizontal="left" vertical="center" wrapText="1"/>
    </xf>
    <xf numFmtId="43" fontId="9" fillId="3" borderId="0" xfId="1" applyFont="1" applyFill="1" applyBorder="1" applyAlignment="1">
      <alignment horizontal="right" vertical="center"/>
    </xf>
    <xf numFmtId="43" fontId="8" fillId="3" borderId="0" xfId="1" applyFont="1" applyFill="1" applyBorder="1" applyAlignment="1">
      <alignment horizontal="right" vertical="center"/>
    </xf>
    <xf numFmtId="4" fontId="8" fillId="3" borderId="0" xfId="0" applyNumberFormat="1" applyFont="1" applyFill="1" applyBorder="1" applyAlignment="1">
      <alignment horizontal="right" vertical="center"/>
    </xf>
    <xf numFmtId="4" fontId="3" fillId="0" borderId="0" xfId="0" applyNumberFormat="1" applyFont="1" applyAlignment="1">
      <alignment horizontal="left" vertical="center" wrapText="1"/>
    </xf>
    <xf numFmtId="0" fontId="2" fillId="0" borderId="0" xfId="0" applyFont="1" applyAlignment="1">
      <alignment vertical="center" wrapText="1"/>
    </xf>
    <xf numFmtId="0" fontId="3" fillId="0" borderId="0" xfId="0" applyFont="1" applyAlignment="1">
      <alignment vertical="center"/>
    </xf>
    <xf numFmtId="43" fontId="8" fillId="3" borderId="1" xfId="1" applyFont="1" applyFill="1" applyBorder="1" applyAlignment="1">
      <alignment horizontal="center" vertical="center"/>
    </xf>
    <xf numFmtId="0" fontId="6" fillId="5" borderId="1" xfId="0" applyFont="1" applyFill="1" applyBorder="1" applyAlignment="1">
      <alignment vertical="center" wrapText="1"/>
    </xf>
    <xf numFmtId="165" fontId="6" fillId="5" borderId="1" xfId="0" applyNumberFormat="1" applyFont="1" applyFill="1" applyBorder="1" applyAlignment="1">
      <alignment horizontal="right" vertical="center"/>
    </xf>
    <xf numFmtId="43" fontId="6" fillId="5" borderId="1" xfId="1" applyFont="1" applyFill="1" applyBorder="1" applyAlignment="1">
      <alignment horizontal="center" vertical="center"/>
    </xf>
    <xf numFmtId="4" fontId="3" fillId="5" borderId="1" xfId="0" applyNumberFormat="1" applyFont="1" applyFill="1" applyBorder="1" applyAlignment="1">
      <alignment horizontal="right" vertical="center"/>
    </xf>
    <xf numFmtId="0" fontId="6" fillId="0" borderId="1" xfId="0" applyFont="1" applyBorder="1" applyAlignment="1">
      <alignment vertical="center" wrapText="1"/>
    </xf>
    <xf numFmtId="165" fontId="6" fillId="0" borderId="1" xfId="0" applyNumberFormat="1" applyFont="1" applyBorder="1" applyAlignment="1">
      <alignment horizontal="right" vertical="center"/>
    </xf>
    <xf numFmtId="43" fontId="6" fillId="0" borderId="1" xfId="1" applyFont="1" applyBorder="1" applyAlignment="1">
      <alignment horizontal="center" vertical="center"/>
    </xf>
    <xf numFmtId="0" fontId="2" fillId="3" borderId="1" xfId="0" applyFont="1" applyFill="1" applyBorder="1" applyAlignment="1">
      <alignment vertical="center"/>
    </xf>
    <xf numFmtId="43" fontId="2" fillId="3" borderId="1" xfId="1" applyFont="1" applyFill="1" applyBorder="1" applyAlignment="1">
      <alignment vertical="center"/>
    </xf>
    <xf numFmtId="4" fontId="2" fillId="3" borderId="1" xfId="0" applyNumberFormat="1" applyFont="1" applyFill="1" applyBorder="1" applyAlignment="1">
      <alignment horizontal="right" vertical="center"/>
    </xf>
    <xf numFmtId="0" fontId="2" fillId="0" borderId="0" xfId="0" applyFont="1" applyFill="1" applyBorder="1" applyAlignment="1">
      <alignment horizontal="center" vertical="center"/>
    </xf>
    <xf numFmtId="43" fontId="2" fillId="0" borderId="0" xfId="1" applyFont="1" applyFill="1" applyBorder="1" applyAlignment="1">
      <alignment horizontal="center" vertical="center"/>
    </xf>
    <xf numFmtId="0" fontId="5" fillId="0" borderId="0" xfId="0" applyFont="1"/>
    <xf numFmtId="0" fontId="5" fillId="3" borderId="0" xfId="0" applyFont="1" applyFill="1" applyBorder="1" applyAlignment="1">
      <alignment horizontal="left" vertical="center" wrapText="1"/>
    </xf>
    <xf numFmtId="4" fontId="5" fillId="3" borderId="0" xfId="0" applyNumberFormat="1" applyFont="1" applyFill="1" applyBorder="1" applyAlignment="1">
      <alignment horizontal="right" vertical="center"/>
    </xf>
    <xf numFmtId="43" fontId="5" fillId="3" borderId="0" xfId="1" applyFont="1" applyFill="1" applyBorder="1" applyAlignment="1">
      <alignment horizontal="right" vertical="center"/>
    </xf>
    <xf numFmtId="0" fontId="5" fillId="0" borderId="0" xfId="0" applyFont="1" applyBorder="1"/>
    <xf numFmtId="43" fontId="5" fillId="0" borderId="1" xfId="1" applyFont="1" applyBorder="1" applyAlignment="1">
      <alignment horizontal="right" wrapText="1"/>
    </xf>
    <xf numFmtId="10" fontId="5" fillId="0" borderId="1" xfId="0" applyNumberFormat="1" applyFont="1" applyBorder="1"/>
    <xf numFmtId="0" fontId="5" fillId="0" borderId="0" xfId="0" applyFont="1" applyBorder="1" applyAlignment="1">
      <alignment horizontal="left" wrapText="1"/>
    </xf>
    <xf numFmtId="43" fontId="5" fillId="0" borderId="0" xfId="1" applyFont="1" applyBorder="1" applyAlignment="1">
      <alignment horizontal="right" wrapText="1"/>
    </xf>
    <xf numFmtId="10" fontId="5" fillId="0" borderId="0" xfId="0" applyNumberFormat="1" applyFont="1" applyBorder="1"/>
    <xf numFmtId="43" fontId="3" fillId="0" borderId="0" xfId="1" applyFont="1" applyFill="1"/>
    <xf numFmtId="0" fontId="8" fillId="6" borderId="1" xfId="0" applyFont="1" applyFill="1" applyBorder="1" applyAlignment="1">
      <alignment horizontal="center" vertical="center" wrapText="1"/>
    </xf>
    <xf numFmtId="43" fontId="2" fillId="6" borderId="1" xfId="1"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vertical="center" wrapText="1"/>
    </xf>
    <xf numFmtId="0" fontId="8" fillId="8" borderId="1" xfId="0" applyFont="1" applyFill="1" applyBorder="1" applyAlignment="1">
      <alignment horizontal="center" vertical="center" wrapText="1"/>
    </xf>
    <xf numFmtId="43" fontId="2" fillId="8" borderId="1" xfId="1" applyFont="1" applyFill="1" applyBorder="1" applyAlignment="1">
      <alignment horizontal="center" vertical="center" wrapText="1"/>
    </xf>
    <xf numFmtId="0" fontId="3" fillId="8" borderId="1" xfId="0" applyFont="1" applyFill="1" applyBorder="1"/>
    <xf numFmtId="43" fontId="3" fillId="0" borderId="1" xfId="1" applyFont="1" applyBorder="1" applyAlignment="1">
      <alignment horizontal="right" vertical="center" wrapText="1"/>
    </xf>
    <xf numFmtId="43" fontId="3" fillId="0" borderId="1" xfId="1" applyFont="1" applyFill="1" applyBorder="1" applyAlignment="1">
      <alignment horizontal="right" vertical="center" wrapText="1"/>
    </xf>
    <xf numFmtId="0" fontId="8" fillId="7" borderId="1" xfId="0" applyFont="1" applyFill="1" applyBorder="1" applyAlignment="1">
      <alignment vertical="center" wrapText="1"/>
    </xf>
    <xf numFmtId="4" fontId="2" fillId="7" borderId="1" xfId="0" applyNumberFormat="1" applyFont="1" applyFill="1" applyBorder="1" applyAlignment="1">
      <alignment horizontal="right" vertical="center"/>
    </xf>
    <xf numFmtId="43" fontId="2" fillId="7" borderId="1" xfId="1" applyFont="1" applyFill="1" applyBorder="1" applyAlignment="1">
      <alignment horizontal="right" vertical="center"/>
    </xf>
    <xf numFmtId="4" fontId="3" fillId="7" borderId="1" xfId="0" applyNumberFormat="1" applyFont="1" applyFill="1" applyBorder="1" applyAlignment="1">
      <alignment horizontal="right" vertical="center"/>
    </xf>
    <xf numFmtId="43" fontId="3" fillId="7" borderId="1" xfId="1" applyFont="1" applyFill="1" applyBorder="1" applyAlignment="1">
      <alignment horizontal="right" vertical="center" wrapText="1"/>
    </xf>
    <xf numFmtId="4" fontId="3" fillId="7" borderId="1" xfId="0" applyNumberFormat="1" applyFont="1" applyFill="1" applyBorder="1"/>
    <xf numFmtId="0" fontId="3" fillId="8" borderId="1" xfId="0" applyFont="1" applyFill="1" applyBorder="1" applyAlignment="1">
      <alignment horizontal="right" vertical="center"/>
    </xf>
    <xf numFmtId="43" fontId="3" fillId="8" borderId="1" xfId="1" applyFont="1" applyFill="1" applyBorder="1" applyAlignment="1">
      <alignment horizontal="right" vertical="center" wrapText="1"/>
    </xf>
    <xf numFmtId="4" fontId="3" fillId="8" borderId="1" xfId="0" applyNumberFormat="1" applyFont="1" applyFill="1" applyBorder="1"/>
    <xf numFmtId="0" fontId="8" fillId="7" borderId="1" xfId="0" applyFont="1" applyFill="1" applyBorder="1" applyAlignment="1">
      <alignment horizontal="left" vertical="center" wrapText="1"/>
    </xf>
    <xf numFmtId="0" fontId="8" fillId="8" borderId="1" xfId="0" applyFont="1" applyFill="1" applyBorder="1" applyAlignment="1">
      <alignment horizontal="left" vertical="center" wrapText="1"/>
    </xf>
    <xf numFmtId="0" fontId="3" fillId="0" borderId="1" xfId="0" applyFont="1" applyBorder="1" applyAlignment="1">
      <alignment horizontal="right" vertical="center"/>
    </xf>
    <xf numFmtId="0" fontId="3" fillId="0" borderId="1" xfId="0" applyFont="1" applyBorder="1" applyAlignment="1">
      <alignment vertical="center" wrapText="1"/>
    </xf>
    <xf numFmtId="4" fontId="8" fillId="7" borderId="1" xfId="0" applyNumberFormat="1" applyFont="1" applyFill="1" applyBorder="1" applyAlignment="1">
      <alignment horizontal="right" vertical="center"/>
    </xf>
    <xf numFmtId="43" fontId="8" fillId="7" borderId="1" xfId="1" applyFont="1" applyFill="1" applyBorder="1" applyAlignment="1">
      <alignment horizontal="right" vertical="center"/>
    </xf>
    <xf numFmtId="0" fontId="3" fillId="7" borderId="1" xfId="0" applyFont="1" applyFill="1" applyBorder="1" applyAlignment="1">
      <alignment horizontal="right" vertical="center" wrapText="1"/>
    </xf>
    <xf numFmtId="0" fontId="8" fillId="0" borderId="1" xfId="0" applyFont="1" applyBorder="1" applyAlignment="1">
      <alignment horizontal="center" vertical="center" wrapText="1"/>
    </xf>
    <xf numFmtId="4" fontId="2" fillId="7" borderId="1" xfId="0" applyNumberFormat="1" applyFont="1" applyFill="1" applyBorder="1" applyAlignment="1">
      <alignment horizontal="right" vertical="center" wrapText="1"/>
    </xf>
    <xf numFmtId="43" fontId="2" fillId="7" borderId="1" xfId="1" applyFont="1" applyFill="1" applyBorder="1" applyAlignment="1">
      <alignment horizontal="right" vertical="center" wrapText="1"/>
    </xf>
    <xf numFmtId="4" fontId="3" fillId="7" borderId="1" xfId="0" applyNumberFormat="1" applyFont="1" applyFill="1" applyBorder="1" applyAlignment="1">
      <alignment horizontal="right" vertical="center" wrapText="1"/>
    </xf>
    <xf numFmtId="0" fontId="8" fillId="0" borderId="0" xfId="0" applyFont="1" applyFill="1" applyBorder="1" applyAlignment="1">
      <alignment vertical="center" wrapText="1"/>
    </xf>
    <xf numFmtId="4" fontId="9" fillId="0" borderId="0" xfId="0" applyNumberFormat="1" applyFont="1" applyFill="1" applyBorder="1" applyAlignment="1">
      <alignment horizontal="right" vertical="center" wrapText="1"/>
    </xf>
    <xf numFmtId="43" fontId="9" fillId="0" borderId="0" xfId="1" applyFont="1" applyFill="1" applyBorder="1" applyAlignment="1">
      <alignment horizontal="right" vertical="center" wrapText="1"/>
    </xf>
    <xf numFmtId="4" fontId="3" fillId="0" borderId="0" xfId="0" applyNumberFormat="1" applyFont="1" applyFill="1"/>
    <xf numFmtId="0" fontId="3" fillId="0" borderId="0" xfId="0" applyFont="1" applyBorder="1" applyAlignment="1">
      <alignment horizontal="left" wrapText="1"/>
    </xf>
    <xf numFmtId="43" fontId="3" fillId="0" borderId="0" xfId="1" applyFont="1" applyBorder="1" applyAlignment="1">
      <alignment horizontal="left" wrapText="1"/>
    </xf>
    <xf numFmtId="10" fontId="3" fillId="0" borderId="0" xfId="0" applyNumberFormat="1" applyFont="1" applyBorder="1"/>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3" fillId="0" borderId="1" xfId="0" applyFont="1" applyBorder="1" applyAlignment="1">
      <alignment horizontal="justify" vertical="center" wrapText="1"/>
    </xf>
    <xf numFmtId="43" fontId="3" fillId="0" borderId="1" xfId="1" applyFont="1" applyBorder="1" applyAlignment="1">
      <alignment horizontal="right"/>
    </xf>
    <xf numFmtId="0" fontId="3" fillId="3" borderId="0" xfId="0" applyFont="1" applyFill="1" applyBorder="1" applyAlignment="1">
      <alignment horizontal="left" vertical="center"/>
    </xf>
    <xf numFmtId="0" fontId="3" fillId="3" borderId="0" xfId="0" applyFont="1" applyFill="1" applyBorder="1" applyAlignment="1">
      <alignment horizontal="center" vertical="center"/>
    </xf>
    <xf numFmtId="43" fontId="3" fillId="3" borderId="0" xfId="1" applyFont="1" applyFill="1" applyBorder="1" applyAlignment="1">
      <alignment horizontal="center" vertical="center"/>
    </xf>
    <xf numFmtId="4" fontId="3" fillId="3" borderId="0" xfId="0" applyNumberFormat="1" applyFont="1" applyFill="1" applyBorder="1" applyAlignment="1">
      <alignment horizontal="center" vertical="center"/>
    </xf>
    <xf numFmtId="43" fontId="3" fillId="0" borderId="1" xfId="1" applyFont="1" applyBorder="1" applyAlignment="1">
      <alignment horizontal="right" wrapText="1"/>
    </xf>
    <xf numFmtId="43" fontId="3" fillId="0" borderId="0" xfId="1" applyFont="1" applyBorder="1" applyAlignment="1">
      <alignment horizontal="right" wrapText="1"/>
    </xf>
    <xf numFmtId="0" fontId="11" fillId="0" borderId="0" xfId="0" applyFont="1" applyBorder="1" applyAlignment="1">
      <alignment horizontal="left" wrapText="1"/>
    </xf>
    <xf numFmtId="43" fontId="11" fillId="0" borderId="0" xfId="1" applyFont="1" applyBorder="1" applyAlignment="1">
      <alignment horizontal="right" wrapText="1"/>
    </xf>
    <xf numFmtId="10" fontId="11" fillId="0" borderId="0" xfId="0" applyNumberFormat="1" applyFont="1" applyBorder="1"/>
    <xf numFmtId="0" fontId="4" fillId="0" borderId="0" xfId="0" applyFont="1" applyAlignment="1">
      <alignment vertical="center" wrapText="1"/>
    </xf>
    <xf numFmtId="0" fontId="7" fillId="0" borderId="0" xfId="0" applyFont="1"/>
    <xf numFmtId="43" fontId="7" fillId="0" borderId="0" xfId="1" applyFont="1"/>
    <xf numFmtId="0" fontId="2" fillId="3" borderId="1" xfId="0" applyFont="1" applyFill="1" applyBorder="1" applyAlignment="1">
      <alignment vertical="center" wrapText="1"/>
    </xf>
    <xf numFmtId="0" fontId="2" fillId="0" borderId="1" xfId="0" applyFont="1" applyBorder="1" applyAlignment="1">
      <alignment horizontal="center"/>
    </xf>
    <xf numFmtId="43" fontId="3" fillId="0" borderId="1" xfId="1" applyFont="1" applyFill="1" applyBorder="1" applyAlignment="1">
      <alignment horizontal="right" vertical="center"/>
    </xf>
    <xf numFmtId="43" fontId="2" fillId="3" borderId="1" xfId="1" applyFont="1" applyFill="1" applyBorder="1" applyAlignment="1">
      <alignment horizontal="right" vertical="center"/>
    </xf>
    <xf numFmtId="0" fontId="2" fillId="0" borderId="0" xfId="0" applyFont="1" applyFill="1" applyBorder="1" applyAlignment="1">
      <alignment vertical="center" wrapText="1"/>
    </xf>
    <xf numFmtId="4" fontId="12" fillId="0" borderId="0" xfId="0" applyNumberFormat="1" applyFont="1" applyFill="1" applyBorder="1" applyAlignment="1">
      <alignment horizontal="right" vertical="center"/>
    </xf>
    <xf numFmtId="43" fontId="2" fillId="0" borderId="0" xfId="1" applyFont="1" applyFill="1" applyBorder="1" applyAlignment="1">
      <alignment horizontal="right" vertical="center"/>
    </xf>
    <xf numFmtId="0" fontId="2" fillId="0" borderId="0" xfId="0" applyFont="1" applyAlignment="1">
      <alignment horizontal="left" vertical="center" wrapText="1"/>
    </xf>
    <xf numFmtId="43" fontId="2" fillId="0" borderId="0" xfId="1" applyFont="1" applyAlignment="1">
      <alignment horizontal="left" vertical="center" wrapText="1"/>
    </xf>
    <xf numFmtId="43" fontId="2" fillId="3" borderId="1" xfId="1" applyFont="1" applyFill="1" applyBorder="1" applyAlignment="1">
      <alignment horizontal="center" vertical="center"/>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5" xfId="0" applyFont="1" applyBorder="1" applyAlignment="1">
      <alignment vertical="center" wrapText="1"/>
    </xf>
    <xf numFmtId="0" fontId="2" fillId="9" borderId="1" xfId="0" applyFont="1" applyFill="1" applyBorder="1" applyAlignment="1">
      <alignment horizontal="center"/>
    </xf>
    <xf numFmtId="0" fontId="2" fillId="0" borderId="1" xfId="0" applyFont="1" applyBorder="1" applyAlignment="1">
      <alignment horizontal="left" vertical="center" wrapText="1"/>
    </xf>
    <xf numFmtId="43" fontId="2" fillId="0" borderId="1" xfId="0" applyNumberFormat="1" applyFont="1" applyBorder="1" applyAlignment="1">
      <alignment horizontal="left" vertical="center" wrapText="1"/>
    </xf>
    <xf numFmtId="0" fontId="10" fillId="0" borderId="0" xfId="0" applyFont="1" applyAlignment="1">
      <alignment horizontal="left" vertical="center" wrapText="1"/>
    </xf>
    <xf numFmtId="0" fontId="5" fillId="0" borderId="1" xfId="0" applyFont="1" applyBorder="1" applyAlignment="1">
      <alignment horizontal="justify" vertical="center" wrapText="1"/>
    </xf>
    <xf numFmtId="43" fontId="6" fillId="0" borderId="1" xfId="1" applyFont="1" applyBorder="1" applyAlignment="1">
      <alignment vertical="center" wrapText="1"/>
    </xf>
    <xf numFmtId="43" fontId="6" fillId="0" borderId="1" xfId="1" applyFont="1" applyBorder="1" applyAlignment="1">
      <alignment vertical="center"/>
    </xf>
    <xf numFmtId="43" fontId="8" fillId="3" borderId="1" xfId="1" applyFont="1" applyFill="1" applyBorder="1" applyAlignment="1">
      <alignment vertical="center" wrapText="1"/>
    </xf>
    <xf numFmtId="0" fontId="8" fillId="0" borderId="6" xfId="0" applyFont="1" applyFill="1" applyBorder="1" applyAlignment="1">
      <alignment horizontal="center" vertical="center" wrapText="1"/>
    </xf>
    <xf numFmtId="43" fontId="9" fillId="0" borderId="6" xfId="1" applyFont="1" applyFill="1" applyBorder="1" applyAlignment="1">
      <alignment vertical="center" wrapText="1"/>
    </xf>
    <xf numFmtId="4" fontId="8" fillId="0" borderId="0" xfId="0" applyNumberFormat="1" applyFont="1" applyFill="1" applyBorder="1" applyAlignment="1">
      <alignmen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43" fontId="2" fillId="0" borderId="0" xfId="1" applyFont="1" applyAlignment="1">
      <alignment horizontal="justify" vertical="center" wrapText="1"/>
    </xf>
    <xf numFmtId="0" fontId="2" fillId="3" borderId="1" xfId="0" applyFont="1" applyFill="1" applyBorder="1" applyAlignment="1">
      <alignment horizontal="center" vertical="center"/>
    </xf>
    <xf numFmtId="0" fontId="3" fillId="0" borderId="1" xfId="0" applyFont="1" applyBorder="1"/>
    <xf numFmtId="1" fontId="2" fillId="3" borderId="1" xfId="0" applyNumberFormat="1" applyFont="1" applyFill="1" applyBorder="1" applyAlignment="1">
      <alignment horizontal="center" vertical="center" wrapText="1"/>
    </xf>
    <xf numFmtId="4" fontId="3" fillId="0" borderId="1" xfId="0" applyNumberFormat="1" applyFont="1" applyBorder="1" applyAlignment="1">
      <alignment horizontal="right" vertical="center" wrapText="1"/>
    </xf>
    <xf numFmtId="0" fontId="2" fillId="3" borderId="1" xfId="0" applyFont="1" applyFill="1" applyBorder="1" applyAlignment="1">
      <alignment horizontal="left" vertical="center" wrapText="1"/>
    </xf>
    <xf numFmtId="4" fontId="2" fillId="3" borderId="1" xfId="0" applyNumberFormat="1" applyFont="1" applyFill="1" applyBorder="1" applyAlignment="1">
      <alignment horizontal="right" vertical="center" wrapText="1"/>
    </xf>
    <xf numFmtId="43" fontId="2" fillId="3" borderId="1" xfId="1" applyFont="1" applyFill="1" applyBorder="1" applyAlignment="1">
      <alignment horizontal="right" vertical="center" wrapText="1"/>
    </xf>
    <xf numFmtId="0" fontId="2" fillId="3" borderId="0" xfId="0" applyFont="1" applyFill="1" applyBorder="1" applyAlignment="1">
      <alignment horizontal="center" vertical="center" wrapText="1"/>
    </xf>
    <xf numFmtId="43" fontId="9" fillId="3" borderId="0" xfId="1" applyFont="1" applyFill="1" applyBorder="1" applyAlignment="1">
      <alignment horizontal="right" vertical="center" wrapText="1"/>
    </xf>
    <xf numFmtId="43" fontId="2" fillId="3" borderId="0" xfId="1" applyFont="1" applyFill="1" applyBorder="1" applyAlignment="1">
      <alignment horizontal="right" vertical="center" wrapText="1"/>
    </xf>
    <xf numFmtId="4" fontId="2" fillId="3" borderId="0" xfId="0" applyNumberFormat="1" applyFont="1" applyFill="1" applyBorder="1" applyAlignment="1">
      <alignment horizontal="right" vertical="center" wrapText="1"/>
    </xf>
    <xf numFmtId="43" fontId="5" fillId="0" borderId="1" xfId="1" applyFont="1" applyBorder="1" applyAlignment="1">
      <alignment horizontal="right" vertical="center" wrapText="1"/>
    </xf>
    <xf numFmtId="0" fontId="3" fillId="4" borderId="1" xfId="0" applyFont="1" applyFill="1" applyBorder="1" applyAlignment="1">
      <alignment vertical="center" wrapText="1"/>
    </xf>
    <xf numFmtId="4" fontId="3" fillId="0" borderId="1" xfId="0" applyNumberFormat="1" applyFont="1" applyBorder="1" applyAlignment="1">
      <alignment vertical="center"/>
    </xf>
    <xf numFmtId="0" fontId="4" fillId="9" borderId="1" xfId="0" applyFont="1" applyFill="1" applyBorder="1" applyAlignment="1">
      <alignment horizontal="center" vertical="center" wrapText="1"/>
    </xf>
    <xf numFmtId="43" fontId="5" fillId="0" borderId="1" xfId="1" applyFont="1" applyBorder="1" applyAlignment="1">
      <alignment horizontal="left" vertical="center" wrapText="1"/>
    </xf>
    <xf numFmtId="0" fontId="4" fillId="9" borderId="1" xfId="0" applyFont="1" applyFill="1" applyBorder="1" applyAlignment="1">
      <alignment horizontal="left" vertical="center" wrapText="1"/>
    </xf>
    <xf numFmtId="43" fontId="4" fillId="9" borderId="1" xfId="1" applyFont="1" applyFill="1" applyBorder="1" applyAlignment="1">
      <alignment horizontal="left" vertical="center" wrapText="1"/>
    </xf>
    <xf numFmtId="0" fontId="4" fillId="0" borderId="0" xfId="0" applyFont="1" applyFill="1" applyBorder="1" applyAlignment="1">
      <alignment horizontal="left" vertical="center" wrapText="1"/>
    </xf>
    <xf numFmtId="43" fontId="4" fillId="0" borderId="0" xfId="1" applyFont="1" applyFill="1" applyBorder="1" applyAlignment="1">
      <alignment horizontal="left" vertical="center" wrapText="1"/>
    </xf>
    <xf numFmtId="43" fontId="3" fillId="0" borderId="0" xfId="0" applyNumberFormat="1" applyFont="1"/>
    <xf numFmtId="0" fontId="3" fillId="5" borderId="1" xfId="0" applyFont="1" applyFill="1" applyBorder="1" applyAlignment="1">
      <alignment vertical="center" wrapText="1"/>
    </xf>
    <xf numFmtId="43" fontId="3" fillId="5" borderId="1" xfId="1" applyFont="1" applyFill="1" applyBorder="1" applyAlignment="1">
      <alignment horizontal="right" vertical="center"/>
    </xf>
    <xf numFmtId="0" fontId="2" fillId="3" borderId="1" xfId="0" applyFont="1" applyFill="1" applyBorder="1" applyAlignment="1">
      <alignment horizontal="justify" vertical="center" wrapText="1"/>
    </xf>
    <xf numFmtId="4" fontId="2" fillId="0" borderId="1" xfId="0" applyNumberFormat="1" applyFont="1" applyBorder="1" applyAlignment="1">
      <alignment vertical="center"/>
    </xf>
    <xf numFmtId="43" fontId="13" fillId="0" borderId="0" xfId="1" applyFont="1"/>
    <xf numFmtId="43" fontId="2" fillId="4" borderId="1" xfId="1" applyFont="1" applyFill="1" applyBorder="1" applyAlignment="1">
      <alignment horizontal="right" wrapText="1"/>
    </xf>
    <xf numFmtId="10" fontId="2" fillId="4" borderId="1" xfId="0" applyNumberFormat="1" applyFont="1" applyFill="1" applyBorder="1"/>
    <xf numFmtId="0" fontId="3" fillId="5"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4" fontId="3" fillId="2" borderId="1" xfId="0" applyNumberFormat="1" applyFont="1" applyFill="1" applyBorder="1" applyAlignment="1">
      <alignment horizontal="right" vertical="center"/>
    </xf>
    <xf numFmtId="43" fontId="3" fillId="2" borderId="1" xfId="1" applyFont="1" applyFill="1" applyBorder="1" applyAlignment="1">
      <alignment horizontal="right" vertical="center"/>
    </xf>
    <xf numFmtId="4" fontId="3" fillId="2" borderId="1" xfId="0" applyNumberFormat="1" applyFont="1" applyFill="1" applyBorder="1"/>
    <xf numFmtId="4" fontId="3" fillId="9" borderId="1" xfId="0" applyNumberFormat="1" applyFont="1" applyFill="1" applyBorder="1" applyAlignment="1">
      <alignment vertical="center"/>
    </xf>
    <xf numFmtId="4" fontId="6" fillId="0" borderId="1" xfId="0" applyNumberFormat="1" applyFont="1" applyBorder="1" applyAlignment="1">
      <alignment horizontal="right" vertical="center"/>
    </xf>
    <xf numFmtId="0" fontId="2" fillId="0" borderId="0" xfId="0" applyFont="1" applyFill="1" applyBorder="1" applyAlignment="1">
      <alignment horizontal="justify" vertical="center" wrapText="1"/>
    </xf>
    <xf numFmtId="43" fontId="2" fillId="0" borderId="0" xfId="1" applyFont="1" applyBorder="1" applyAlignment="1">
      <alignment horizontal="left" wrapText="1"/>
    </xf>
    <xf numFmtId="43" fontId="14" fillId="0" borderId="0" xfId="1" applyFont="1" applyFill="1" applyBorder="1" applyAlignment="1">
      <alignment horizontal="right" vertical="center"/>
    </xf>
    <xf numFmtId="4" fontId="2" fillId="0" borderId="0" xfId="0" applyNumberFormat="1" applyFont="1" applyBorder="1" applyAlignment="1">
      <alignment horizontal="left" wrapText="1"/>
    </xf>
    <xf numFmtId="0" fontId="2" fillId="4" borderId="0" xfId="0" applyFont="1" applyFill="1"/>
    <xf numFmtId="43" fontId="6" fillId="5" borderId="1" xfId="1" applyFont="1" applyFill="1" applyBorder="1" applyAlignment="1">
      <alignment horizontal="right" vertical="center"/>
    </xf>
    <xf numFmtId="43" fontId="3" fillId="0" borderId="1" xfId="1" applyFont="1" applyBorder="1" applyAlignment="1">
      <alignment vertical="center"/>
    </xf>
    <xf numFmtId="43" fontId="3" fillId="0" borderId="1" xfId="1" applyFont="1" applyBorder="1" applyAlignment="1">
      <alignment horizontal="center" vertical="center"/>
    </xf>
    <xf numFmtId="4" fontId="8"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2" fillId="3" borderId="0" xfId="0" applyFont="1" applyFill="1" applyBorder="1" applyAlignment="1">
      <alignment horizontal="justify" vertical="center" wrapText="1"/>
    </xf>
    <xf numFmtId="4" fontId="9" fillId="3" borderId="0" xfId="0" applyNumberFormat="1" applyFont="1" applyFill="1" applyBorder="1" applyAlignment="1">
      <alignment horizontal="right" vertical="center"/>
    </xf>
    <xf numFmtId="43" fontId="2" fillId="0" borderId="1" xfId="1" applyFont="1" applyFill="1" applyBorder="1" applyAlignment="1">
      <alignment horizontal="right" wrapText="1"/>
    </xf>
    <xf numFmtId="10" fontId="2" fillId="0" borderId="1" xfId="0" applyNumberFormat="1" applyFont="1" applyFill="1" applyBorder="1"/>
    <xf numFmtId="43" fontId="2" fillId="0" borderId="0" xfId="1" applyFont="1" applyFill="1" applyBorder="1" applyAlignment="1">
      <alignment horizontal="right" wrapText="1"/>
    </xf>
    <xf numFmtId="10" fontId="2" fillId="0" borderId="0" xfId="0" applyNumberFormat="1" applyFont="1" applyFill="1" applyBorder="1"/>
    <xf numFmtId="0" fontId="2" fillId="0" borderId="0" xfId="0" applyFont="1" applyFill="1" applyAlignment="1">
      <alignment horizontal="left" wrapText="1"/>
    </xf>
    <xf numFmtId="0" fontId="5" fillId="0" borderId="0" xfId="0" applyFont="1" applyFill="1" applyBorder="1" applyAlignment="1">
      <alignment horizontal="left" vertical="center" wrapText="1"/>
    </xf>
    <xf numFmtId="0" fontId="3" fillId="0" borderId="0" xfId="0" applyFont="1" applyAlignment="1">
      <alignment horizontal="center"/>
    </xf>
    <xf numFmtId="0" fontId="3" fillId="0" borderId="1" xfId="0" applyFont="1" applyBorder="1" applyAlignment="1">
      <alignment horizontal="center"/>
    </xf>
    <xf numFmtId="0" fontId="2" fillId="9" borderId="1" xfId="0" applyFont="1" applyFill="1" applyBorder="1"/>
    <xf numFmtId="43" fontId="2" fillId="9" borderId="1" xfId="1" applyFont="1" applyFill="1" applyBorder="1" applyAlignment="1">
      <alignment horizontal="right"/>
    </xf>
    <xf numFmtId="0" fontId="3" fillId="0" borderId="0" xfId="0" applyFont="1" applyAlignment="1">
      <alignment horizontal="left" wrapText="1"/>
    </xf>
    <xf numFmtId="3" fontId="3" fillId="0" borderId="0" xfId="0" applyNumberFormat="1" applyFont="1"/>
    <xf numFmtId="3" fontId="3" fillId="0" borderId="0" xfId="0" applyNumberFormat="1" applyFont="1" applyAlignment="1">
      <alignment horizontal="center"/>
    </xf>
    <xf numFmtId="0" fontId="5" fillId="0" borderId="0" xfId="0" applyFont="1" applyFill="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4</xdr:col>
      <xdr:colOff>1133475</xdr:colOff>
      <xdr:row>3</xdr:row>
      <xdr:rowOff>76200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64674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37</xdr:row>
      <xdr:rowOff>19050</xdr:rowOff>
    </xdr:from>
    <xdr:to>
      <xdr:col>4</xdr:col>
      <xdr:colOff>657225</xdr:colOff>
      <xdr:row>38</xdr:row>
      <xdr:rowOff>47625</xdr:rowOff>
    </xdr:to>
    <xdr:pic>
      <xdr:nvPicPr>
        <xdr:cNvPr id="3"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90850" y="9496425"/>
          <a:ext cx="30765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43</xdr:row>
      <xdr:rowOff>9525</xdr:rowOff>
    </xdr:from>
    <xdr:to>
      <xdr:col>5</xdr:col>
      <xdr:colOff>0</xdr:colOff>
      <xdr:row>45</xdr:row>
      <xdr:rowOff>171450</xdr:rowOff>
    </xdr:to>
    <xdr:pic>
      <xdr:nvPicPr>
        <xdr:cNvPr id="4" name="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058400"/>
          <a:ext cx="63246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113</xdr:row>
      <xdr:rowOff>123825</xdr:rowOff>
    </xdr:from>
    <xdr:to>
      <xdr:col>4</xdr:col>
      <xdr:colOff>1133475</xdr:colOff>
      <xdr:row>115</xdr:row>
      <xdr:rowOff>142875</xdr:rowOff>
    </xdr:to>
    <xdr:pic>
      <xdr:nvPicPr>
        <xdr:cNvPr id="5" name="10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9935825"/>
          <a:ext cx="64770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177</xdr:row>
      <xdr:rowOff>19050</xdr:rowOff>
    </xdr:from>
    <xdr:to>
      <xdr:col>5</xdr:col>
      <xdr:colOff>0</xdr:colOff>
      <xdr:row>180</xdr:row>
      <xdr:rowOff>28575</xdr:rowOff>
    </xdr:to>
    <xdr:pic>
      <xdr:nvPicPr>
        <xdr:cNvPr id="6" name="1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309675"/>
          <a:ext cx="63817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221</xdr:row>
      <xdr:rowOff>180975</xdr:rowOff>
    </xdr:from>
    <xdr:to>
      <xdr:col>4</xdr:col>
      <xdr:colOff>1057275</xdr:colOff>
      <xdr:row>225</xdr:row>
      <xdr:rowOff>133350</xdr:rowOff>
    </xdr:to>
    <xdr:pic>
      <xdr:nvPicPr>
        <xdr:cNvPr id="7" name="1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804975"/>
          <a:ext cx="64674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272</xdr:row>
      <xdr:rowOff>95250</xdr:rowOff>
    </xdr:from>
    <xdr:to>
      <xdr:col>5</xdr:col>
      <xdr:colOff>0</xdr:colOff>
      <xdr:row>275</xdr:row>
      <xdr:rowOff>38100</xdr:rowOff>
    </xdr:to>
    <xdr:pic>
      <xdr:nvPicPr>
        <xdr:cNvPr id="8" name="1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131200"/>
          <a:ext cx="6305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456</xdr:row>
      <xdr:rowOff>66675</xdr:rowOff>
    </xdr:from>
    <xdr:to>
      <xdr:col>5</xdr:col>
      <xdr:colOff>0</xdr:colOff>
      <xdr:row>459</xdr:row>
      <xdr:rowOff>95250</xdr:rowOff>
    </xdr:to>
    <xdr:pic>
      <xdr:nvPicPr>
        <xdr:cNvPr id="9" name="23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8590775"/>
          <a:ext cx="63055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513</xdr:row>
      <xdr:rowOff>76200</xdr:rowOff>
    </xdr:from>
    <xdr:to>
      <xdr:col>5</xdr:col>
      <xdr:colOff>0</xdr:colOff>
      <xdr:row>515</xdr:row>
      <xdr:rowOff>133350</xdr:rowOff>
    </xdr:to>
    <xdr:pic>
      <xdr:nvPicPr>
        <xdr:cNvPr id="10" name="26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88353900"/>
          <a:ext cx="63055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563</xdr:row>
      <xdr:rowOff>57150</xdr:rowOff>
    </xdr:from>
    <xdr:to>
      <xdr:col>5</xdr:col>
      <xdr:colOff>0</xdr:colOff>
      <xdr:row>567</xdr:row>
      <xdr:rowOff>28575</xdr:rowOff>
    </xdr:to>
    <xdr:pic>
      <xdr:nvPicPr>
        <xdr:cNvPr id="11"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7239475"/>
          <a:ext cx="65532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612</xdr:row>
      <xdr:rowOff>57150</xdr:rowOff>
    </xdr:from>
    <xdr:to>
      <xdr:col>5</xdr:col>
      <xdr:colOff>0</xdr:colOff>
      <xdr:row>615</xdr:row>
      <xdr:rowOff>85725</xdr:rowOff>
    </xdr:to>
    <xdr:pic>
      <xdr:nvPicPr>
        <xdr:cNvPr id="12"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108023025"/>
          <a:ext cx="6286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663</xdr:row>
      <xdr:rowOff>47626</xdr:rowOff>
    </xdr:from>
    <xdr:to>
      <xdr:col>5</xdr:col>
      <xdr:colOff>0</xdr:colOff>
      <xdr:row>666</xdr:row>
      <xdr:rowOff>66676</xdr:rowOff>
    </xdr:to>
    <xdr:pic>
      <xdr:nvPicPr>
        <xdr:cNvPr id="13"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8101726"/>
          <a:ext cx="64008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406</xdr:row>
      <xdr:rowOff>0</xdr:rowOff>
    </xdr:from>
    <xdr:to>
      <xdr:col>5</xdr:col>
      <xdr:colOff>0</xdr:colOff>
      <xdr:row>408</xdr:row>
      <xdr:rowOff>133350</xdr:rowOff>
    </xdr:to>
    <xdr:pic>
      <xdr:nvPicPr>
        <xdr:cNvPr id="14" name="19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8818125"/>
          <a:ext cx="63055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709</xdr:row>
      <xdr:rowOff>0</xdr:rowOff>
    </xdr:from>
    <xdr:to>
      <xdr:col>5</xdr:col>
      <xdr:colOff>0</xdr:colOff>
      <xdr:row>712</xdr:row>
      <xdr:rowOff>28575</xdr:rowOff>
    </xdr:to>
    <xdr:pic>
      <xdr:nvPicPr>
        <xdr:cNvPr id="15" name="28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27968375"/>
          <a:ext cx="62865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362</xdr:row>
      <xdr:rowOff>19050</xdr:rowOff>
    </xdr:from>
    <xdr:to>
      <xdr:col>5</xdr:col>
      <xdr:colOff>0</xdr:colOff>
      <xdr:row>384</xdr:row>
      <xdr:rowOff>9525</xdr:rowOff>
    </xdr:to>
    <xdr:pic>
      <xdr:nvPicPr>
        <xdr:cNvPr id="16" name="1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62674500"/>
          <a:ext cx="6267450" cy="418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TADO%20CORAAMOCA%20CG%2004%20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sheetName val="indce"/>
      <sheetName val="ajustes R"/>
      <sheetName val="Hoja4"/>
      <sheetName val="Mat"/>
      <sheetName val="BALANZA"/>
      <sheetName val="BALANZA G"/>
      <sheetName val="DE"/>
      <sheetName val="Pres A"/>
      <sheetName val="25A"/>
      <sheetName val="Notas NF"/>
      <sheetName val="nota12"/>
      <sheetName val="ESF  (2)"/>
      <sheetName val="ES F "/>
      <sheetName val="ERF"/>
      <sheetName val="EFE2"/>
      <sheetName val="EP2"/>
      <sheetName val="EEP2"/>
      <sheetName val="A"/>
      <sheetName val="Hoja8"/>
      <sheetName val="nota10inventario"/>
      <sheetName val="Rt"/>
      <sheetName val="I"/>
      <sheetName val="G"/>
      <sheetName val="V"/>
      <sheetName val="ELAI"/>
      <sheetName val="IPT"/>
      <sheetName val="PEP"/>
      <sheetName val="Notas"/>
      <sheetName val="Hoja1"/>
      <sheetName val="RESULTADO"/>
      <sheetName val="EST.Ej.PREs."/>
      <sheetName val="FLUJO"/>
      <sheetName val="PATRIMONIO"/>
      <sheetName val="Rf"/>
      <sheetName val="m"/>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Hoja2"/>
    </sheetNames>
    <sheetDataSet>
      <sheetData sheetId="0" refreshError="1"/>
      <sheetData sheetId="1" refreshError="1"/>
      <sheetData sheetId="2" refreshError="1"/>
      <sheetData sheetId="3" refreshError="1"/>
      <sheetData sheetId="4" refreshError="1"/>
      <sheetData sheetId="5">
        <row r="3">
          <cell r="B3" t="str">
            <v>30 de abril del 2025</v>
          </cell>
          <cell r="C3" t="str">
            <v>- 2024</v>
          </cell>
        </row>
        <row r="4">
          <cell r="B4">
            <v>2025</v>
          </cell>
          <cell r="C4">
            <v>2024</v>
          </cell>
        </row>
        <row r="6">
          <cell r="B6">
            <v>1485895.3399999999</v>
          </cell>
        </row>
      </sheetData>
      <sheetData sheetId="6">
        <row r="12">
          <cell r="C12">
            <v>0</v>
          </cell>
          <cell r="D12">
            <v>0</v>
          </cell>
        </row>
        <row r="13">
          <cell r="C13">
            <v>95000</v>
          </cell>
          <cell r="D13">
            <v>110000</v>
          </cell>
        </row>
        <row r="15">
          <cell r="C15">
            <v>80000</v>
          </cell>
          <cell r="D15">
            <v>80000</v>
          </cell>
        </row>
        <row r="22">
          <cell r="C22">
            <v>0</v>
          </cell>
          <cell r="D22">
            <v>0</v>
          </cell>
        </row>
        <row r="23">
          <cell r="C23">
            <v>1366.2</v>
          </cell>
          <cell r="D23">
            <v>236.2</v>
          </cell>
        </row>
        <row r="24">
          <cell r="C24">
            <v>10.75</v>
          </cell>
          <cell r="D24">
            <v>1310.75</v>
          </cell>
        </row>
        <row r="25">
          <cell r="C25">
            <v>1382703.87</v>
          </cell>
          <cell r="D25">
            <v>2093182.13</v>
          </cell>
        </row>
        <row r="26">
          <cell r="C26">
            <v>806880.13</v>
          </cell>
          <cell r="D26">
            <v>453230.39</v>
          </cell>
        </row>
        <row r="27">
          <cell r="C27">
            <v>334260650.29000002</v>
          </cell>
          <cell r="D27">
            <v>302831372.16000003</v>
          </cell>
        </row>
        <row r="28">
          <cell r="C28">
            <v>0</v>
          </cell>
          <cell r="D28">
            <v>0</v>
          </cell>
        </row>
        <row r="30">
          <cell r="C30">
            <v>0</v>
          </cell>
          <cell r="D30">
            <v>0</v>
          </cell>
        </row>
        <row r="34">
          <cell r="C34">
            <v>0</v>
          </cell>
          <cell r="D34">
            <v>1350.12</v>
          </cell>
        </row>
        <row r="40">
          <cell r="C40">
            <v>0</v>
          </cell>
          <cell r="D40">
            <v>0</v>
          </cell>
        </row>
        <row r="41">
          <cell r="C41">
            <v>17118495.120000001</v>
          </cell>
          <cell r="D41">
            <v>18382280.280000001</v>
          </cell>
        </row>
        <row r="46">
          <cell r="C46">
            <v>0</v>
          </cell>
        </row>
        <row r="48">
          <cell r="C48">
            <v>234614.82</v>
          </cell>
          <cell r="D48">
            <v>422306.74</v>
          </cell>
        </row>
        <row r="55">
          <cell r="C55">
            <v>1623675</v>
          </cell>
          <cell r="D55">
            <v>1623675</v>
          </cell>
          <cell r="F55">
            <v>1623675</v>
          </cell>
        </row>
        <row r="58">
          <cell r="C58">
            <v>953149176.46000004</v>
          </cell>
          <cell r="D58">
            <v>953149176.46000004</v>
          </cell>
        </row>
        <row r="59">
          <cell r="C59">
            <v>4149647.32</v>
          </cell>
          <cell r="D59">
            <v>4149647.32</v>
          </cell>
        </row>
        <row r="64">
          <cell r="C64">
            <v>52883325.560000002</v>
          </cell>
          <cell r="D64">
            <v>52883325.560000002</v>
          </cell>
          <cell r="F64">
            <v>45922302.979999997</v>
          </cell>
        </row>
        <row r="65">
          <cell r="C65">
            <v>10179245.880000001</v>
          </cell>
          <cell r="D65">
            <v>10179245.880000001</v>
          </cell>
        </row>
        <row r="68">
          <cell r="C68">
            <v>510150</v>
          </cell>
          <cell r="D68">
            <v>578847</v>
          </cell>
          <cell r="F68">
            <v>74900</v>
          </cell>
        </row>
        <row r="71">
          <cell r="C71">
            <v>6007322.9500000002</v>
          </cell>
          <cell r="D71">
            <v>5837722.9500000002</v>
          </cell>
        </row>
        <row r="74">
          <cell r="C74">
            <v>28796945.620000001</v>
          </cell>
          <cell r="D74">
            <v>24266945.620000001</v>
          </cell>
        </row>
        <row r="77">
          <cell r="C77">
            <v>932591.88</v>
          </cell>
        </row>
        <row r="92">
          <cell r="C92">
            <v>0</v>
          </cell>
          <cell r="D92">
            <v>0</v>
          </cell>
        </row>
        <row r="93">
          <cell r="C93">
            <v>0</v>
          </cell>
          <cell r="D93">
            <v>0</v>
          </cell>
        </row>
        <row r="94">
          <cell r="C94">
            <v>0</v>
          </cell>
          <cell r="D94">
            <v>0</v>
          </cell>
        </row>
        <row r="95">
          <cell r="C95">
            <v>0</v>
          </cell>
          <cell r="D95">
            <v>0</v>
          </cell>
        </row>
        <row r="96">
          <cell r="C96">
            <v>0</v>
          </cell>
          <cell r="D96">
            <v>0</v>
          </cell>
        </row>
        <row r="97">
          <cell r="C97">
            <v>56304.6</v>
          </cell>
          <cell r="D97">
            <v>0</v>
          </cell>
        </row>
        <row r="98">
          <cell r="C98">
            <v>0</v>
          </cell>
          <cell r="D98">
            <v>0</v>
          </cell>
        </row>
        <row r="99">
          <cell r="C99">
            <v>71945.25</v>
          </cell>
          <cell r="D99">
            <v>0</v>
          </cell>
        </row>
        <row r="102">
          <cell r="C102">
            <v>0</v>
          </cell>
          <cell r="D102">
            <v>0</v>
          </cell>
        </row>
        <row r="103">
          <cell r="C103">
            <v>0</v>
          </cell>
          <cell r="D103">
            <v>0</v>
          </cell>
        </row>
        <row r="105">
          <cell r="C105">
            <v>29387023.32</v>
          </cell>
          <cell r="D105">
            <v>13947066.369999999</v>
          </cell>
        </row>
        <row r="106">
          <cell r="C106">
            <v>0</v>
          </cell>
          <cell r="D106">
            <v>7106.65</v>
          </cell>
        </row>
        <row r="107">
          <cell r="C107">
            <v>0</v>
          </cell>
          <cell r="D107">
            <v>1436011.51</v>
          </cell>
        </row>
        <row r="112">
          <cell r="C112">
            <v>0</v>
          </cell>
          <cell r="D112">
            <v>252299.3</v>
          </cell>
        </row>
        <row r="113">
          <cell r="C113">
            <v>0</v>
          </cell>
          <cell r="D113">
            <v>0</v>
          </cell>
        </row>
        <row r="116">
          <cell r="C116">
            <v>0</v>
          </cell>
          <cell r="D116">
            <v>0</v>
          </cell>
        </row>
        <row r="125">
          <cell r="C125">
            <v>808793054.60000002</v>
          </cell>
          <cell r="D125">
            <v>808793054.60000002</v>
          </cell>
        </row>
        <row r="133">
          <cell r="C133">
            <v>61459763.119999997</v>
          </cell>
          <cell r="D133">
            <v>180976832.23999998</v>
          </cell>
        </row>
        <row r="146">
          <cell r="C146">
            <v>0</v>
          </cell>
        </row>
        <row r="150">
          <cell r="C150">
            <v>15972668</v>
          </cell>
        </row>
        <row r="151">
          <cell r="C151">
            <v>33490000</v>
          </cell>
        </row>
        <row r="152">
          <cell r="C152">
            <v>18514608</v>
          </cell>
        </row>
        <row r="159">
          <cell r="C159">
            <v>47933676</v>
          </cell>
          <cell r="D159">
            <v>147133178</v>
          </cell>
        </row>
        <row r="160">
          <cell r="C160">
            <v>0</v>
          </cell>
          <cell r="D160">
            <v>0</v>
          </cell>
        </row>
        <row r="161">
          <cell r="C161">
            <v>0</v>
          </cell>
          <cell r="D161">
            <v>0</v>
          </cell>
        </row>
        <row r="162">
          <cell r="C162">
            <v>0</v>
          </cell>
          <cell r="D162">
            <v>0</v>
          </cell>
        </row>
        <row r="163">
          <cell r="C163">
            <v>0</v>
          </cell>
          <cell r="D163">
            <v>0</v>
          </cell>
        </row>
        <row r="164">
          <cell r="C164">
            <v>0</v>
          </cell>
          <cell r="D164">
            <v>0</v>
          </cell>
        </row>
        <row r="165">
          <cell r="C165">
            <v>10714.28</v>
          </cell>
          <cell r="D165">
            <v>193520.16</v>
          </cell>
        </row>
        <row r="166">
          <cell r="C166">
            <v>314105</v>
          </cell>
          <cell r="D166">
            <v>1296420</v>
          </cell>
        </row>
        <row r="167">
          <cell r="C167">
            <v>2366005</v>
          </cell>
          <cell r="D167">
            <v>6765350</v>
          </cell>
        </row>
        <row r="168">
          <cell r="C168">
            <v>0</v>
          </cell>
          <cell r="D168">
            <v>0</v>
          </cell>
        </row>
        <row r="169">
          <cell r="C169">
            <v>4163667</v>
          </cell>
          <cell r="D169">
            <v>0</v>
          </cell>
        </row>
        <row r="170">
          <cell r="C170">
            <v>0</v>
          </cell>
          <cell r="D170">
            <v>0</v>
          </cell>
        </row>
        <row r="171">
          <cell r="C171">
            <v>0</v>
          </cell>
          <cell r="D171">
            <v>1715.66</v>
          </cell>
        </row>
        <row r="173">
          <cell r="C173">
            <v>0</v>
          </cell>
          <cell r="D173">
            <v>0</v>
          </cell>
        </row>
        <row r="174">
          <cell r="C174">
            <v>645000</v>
          </cell>
          <cell r="D174">
            <v>2970000</v>
          </cell>
        </row>
        <row r="175">
          <cell r="C175">
            <v>0</v>
          </cell>
          <cell r="D175">
            <v>0</v>
          </cell>
        </row>
        <row r="176">
          <cell r="C176">
            <v>0</v>
          </cell>
          <cell r="D176">
            <v>0</v>
          </cell>
        </row>
        <row r="177">
          <cell r="C177">
            <v>0</v>
          </cell>
          <cell r="D177">
            <v>0</v>
          </cell>
        </row>
        <row r="179">
          <cell r="C179">
            <v>8250</v>
          </cell>
          <cell r="D179">
            <v>12210081.5</v>
          </cell>
        </row>
        <row r="180">
          <cell r="C180">
            <v>0</v>
          </cell>
          <cell r="D180">
            <v>0</v>
          </cell>
        </row>
        <row r="181">
          <cell r="C181">
            <v>0</v>
          </cell>
          <cell r="D181">
            <v>0</v>
          </cell>
        </row>
        <row r="184">
          <cell r="C184">
            <v>3397314.1</v>
          </cell>
          <cell r="D184">
            <v>10463761.68</v>
          </cell>
        </row>
        <row r="185">
          <cell r="C185">
            <v>3403481.37</v>
          </cell>
          <cell r="D185">
            <v>9101205.8599999994</v>
          </cell>
        </row>
        <row r="186">
          <cell r="C186">
            <v>569454.16</v>
          </cell>
          <cell r="D186">
            <v>3131774.53</v>
          </cell>
        </row>
        <row r="192">
          <cell r="C192">
            <v>0</v>
          </cell>
          <cell r="D192">
            <v>256900</v>
          </cell>
        </row>
        <row r="193">
          <cell r="C193">
            <v>0</v>
          </cell>
          <cell r="D193">
            <v>1490</v>
          </cell>
        </row>
        <row r="197">
          <cell r="C197">
            <v>0</v>
          </cell>
          <cell r="D197">
            <v>878000</v>
          </cell>
        </row>
        <row r="198">
          <cell r="C198">
            <v>582358.52</v>
          </cell>
          <cell r="D198">
            <v>1745852.09</v>
          </cell>
        </row>
        <row r="199">
          <cell r="C199">
            <v>300272.34000000003</v>
          </cell>
          <cell r="D199">
            <v>781748.96</v>
          </cell>
        </row>
        <row r="200">
          <cell r="C200">
            <v>0</v>
          </cell>
          <cell r="D200">
            <v>0</v>
          </cell>
        </row>
        <row r="201">
          <cell r="C201">
            <v>116690.4</v>
          </cell>
          <cell r="D201">
            <v>371176.6</v>
          </cell>
        </row>
        <row r="202">
          <cell r="C202">
            <v>26547207.539999999</v>
          </cell>
          <cell r="D202">
            <v>63713429.090000004</v>
          </cell>
        </row>
        <row r="203">
          <cell r="C203">
            <v>0</v>
          </cell>
          <cell r="D203">
            <v>345465.68</v>
          </cell>
        </row>
        <row r="204">
          <cell r="C204">
            <v>0</v>
          </cell>
          <cell r="D204">
            <v>0</v>
          </cell>
        </row>
        <row r="205">
          <cell r="C205">
            <v>225750</v>
          </cell>
          <cell r="D205">
            <v>925630</v>
          </cell>
        </row>
        <row r="206">
          <cell r="C206">
            <v>346887.35</v>
          </cell>
          <cell r="D206">
            <v>786671.76</v>
          </cell>
        </row>
        <row r="207">
          <cell r="C207">
            <v>0</v>
          </cell>
          <cell r="D207">
            <v>0</v>
          </cell>
        </row>
        <row r="208">
          <cell r="C208">
            <v>0</v>
          </cell>
          <cell r="D208">
            <v>0</v>
          </cell>
        </row>
        <row r="209">
          <cell r="C209">
            <v>0</v>
          </cell>
          <cell r="D209">
            <v>0</v>
          </cell>
        </row>
        <row r="210">
          <cell r="C210">
            <v>0</v>
          </cell>
          <cell r="D210">
            <v>175</v>
          </cell>
        </row>
        <row r="211">
          <cell r="C211">
            <v>0</v>
          </cell>
          <cell r="D211">
            <v>0</v>
          </cell>
        </row>
        <row r="213">
          <cell r="C213">
            <v>1249687.73</v>
          </cell>
          <cell r="D213">
            <v>1434034.5</v>
          </cell>
        </row>
        <row r="214">
          <cell r="C214">
            <v>0</v>
          </cell>
          <cell r="D214">
            <v>62614.5</v>
          </cell>
        </row>
        <row r="215">
          <cell r="C215">
            <v>0</v>
          </cell>
          <cell r="D215">
            <v>0</v>
          </cell>
        </row>
        <row r="216">
          <cell r="C216">
            <v>0</v>
          </cell>
          <cell r="D216">
            <v>292500</v>
          </cell>
        </row>
        <row r="217">
          <cell r="C217">
            <v>0</v>
          </cell>
          <cell r="D217">
            <v>1192000</v>
          </cell>
        </row>
        <row r="218">
          <cell r="C218">
            <v>0</v>
          </cell>
          <cell r="D218">
            <v>0</v>
          </cell>
        </row>
        <row r="219">
          <cell r="C219">
            <v>0</v>
          </cell>
          <cell r="D219">
            <v>170699.58</v>
          </cell>
        </row>
        <row r="220">
          <cell r="C220">
            <v>187691.92</v>
          </cell>
          <cell r="D220">
            <v>521982.5</v>
          </cell>
        </row>
        <row r="221">
          <cell r="C221">
            <v>0</v>
          </cell>
          <cell r="D221">
            <v>135144.72</v>
          </cell>
        </row>
        <row r="223">
          <cell r="C223">
            <v>0</v>
          </cell>
          <cell r="D223">
            <v>1494232.69</v>
          </cell>
        </row>
        <row r="224">
          <cell r="C224">
            <v>0</v>
          </cell>
          <cell r="D224">
            <v>5000</v>
          </cell>
        </row>
        <row r="225">
          <cell r="C225">
            <v>1271400.1599999999</v>
          </cell>
          <cell r="D225">
            <v>6111175.2400000021</v>
          </cell>
        </row>
        <row r="226">
          <cell r="C226">
            <v>0</v>
          </cell>
          <cell r="D226">
            <v>0</v>
          </cell>
        </row>
        <row r="227">
          <cell r="C227">
            <v>0</v>
          </cell>
          <cell r="D227">
            <v>0</v>
          </cell>
        </row>
        <row r="228">
          <cell r="C228">
            <v>0</v>
          </cell>
          <cell r="D228">
            <v>278895.28999999998</v>
          </cell>
        </row>
        <row r="229">
          <cell r="C229">
            <v>0</v>
          </cell>
          <cell r="D229">
            <v>4162.24</v>
          </cell>
        </row>
        <row r="231">
          <cell r="C231">
            <v>0</v>
          </cell>
          <cell r="D231">
            <v>15500</v>
          </cell>
        </row>
        <row r="232">
          <cell r="C232">
            <v>0</v>
          </cell>
          <cell r="D232">
            <v>0</v>
          </cell>
        </row>
        <row r="233">
          <cell r="C233">
            <v>0</v>
          </cell>
          <cell r="D233">
            <v>0</v>
          </cell>
        </row>
        <row r="234">
          <cell r="C234">
            <v>73050</v>
          </cell>
          <cell r="D234">
            <v>1920320.51</v>
          </cell>
        </row>
        <row r="235">
          <cell r="C235">
            <v>0</v>
          </cell>
          <cell r="D235">
            <v>276000</v>
          </cell>
        </row>
        <row r="236">
          <cell r="C236">
            <v>2605</v>
          </cell>
          <cell r="D236">
            <v>9099.9</v>
          </cell>
        </row>
        <row r="237">
          <cell r="C237">
            <v>1972.7</v>
          </cell>
          <cell r="D237">
            <v>21105.87</v>
          </cell>
        </row>
        <row r="238">
          <cell r="C238">
            <v>0</v>
          </cell>
          <cell r="D238">
            <v>0</v>
          </cell>
        </row>
        <row r="240">
          <cell r="C240">
            <v>0</v>
          </cell>
          <cell r="D240">
            <v>0</v>
          </cell>
        </row>
        <row r="241">
          <cell r="C241">
            <v>0</v>
          </cell>
          <cell r="D241">
            <v>140067.79</v>
          </cell>
        </row>
        <row r="242">
          <cell r="C242">
            <v>251701.1</v>
          </cell>
          <cell r="D242">
            <v>755694.55</v>
          </cell>
        </row>
        <row r="243">
          <cell r="C243">
            <v>0</v>
          </cell>
          <cell r="D243">
            <v>25915.84</v>
          </cell>
        </row>
        <row r="244">
          <cell r="C244">
            <v>0</v>
          </cell>
          <cell r="D244">
            <v>0</v>
          </cell>
        </row>
        <row r="245">
          <cell r="C245">
            <v>0</v>
          </cell>
          <cell r="D245">
            <v>223728.81</v>
          </cell>
        </row>
        <row r="246">
          <cell r="C246">
            <v>0</v>
          </cell>
          <cell r="D246">
            <v>521700</v>
          </cell>
        </row>
        <row r="247">
          <cell r="C247">
            <v>1955499.86</v>
          </cell>
          <cell r="D247">
            <v>5434192.7699999996</v>
          </cell>
        </row>
        <row r="248">
          <cell r="C248">
            <v>0</v>
          </cell>
          <cell r="D248">
            <v>0</v>
          </cell>
        </row>
        <row r="253">
          <cell r="C253">
            <v>250276.73</v>
          </cell>
          <cell r="D253">
            <v>563644.93000000005</v>
          </cell>
        </row>
        <row r="255">
          <cell r="C255">
            <v>109109.35</v>
          </cell>
          <cell r="D255">
            <v>282371.25</v>
          </cell>
        </row>
        <row r="256">
          <cell r="C256">
            <v>0</v>
          </cell>
          <cell r="D256">
            <v>0</v>
          </cell>
        </row>
        <row r="257">
          <cell r="C257">
            <v>0</v>
          </cell>
          <cell r="D257">
            <v>0</v>
          </cell>
        </row>
        <row r="258">
          <cell r="C258">
            <v>0</v>
          </cell>
          <cell r="D258">
            <v>0</v>
          </cell>
        </row>
        <row r="259">
          <cell r="C259">
            <v>36728.28</v>
          </cell>
          <cell r="D259">
            <v>126382.55</v>
          </cell>
        </row>
        <row r="260">
          <cell r="C260">
            <v>0</v>
          </cell>
          <cell r="D260">
            <v>204450</v>
          </cell>
        </row>
        <row r="261">
          <cell r="C261">
            <v>0</v>
          </cell>
          <cell r="D261">
            <v>149551</v>
          </cell>
        </row>
        <row r="263">
          <cell r="C263">
            <v>1611950</v>
          </cell>
          <cell r="D263">
            <v>5605300</v>
          </cell>
        </row>
        <row r="264">
          <cell r="C264">
            <v>1040500</v>
          </cell>
          <cell r="D264">
            <v>2730140</v>
          </cell>
        </row>
        <row r="265">
          <cell r="C265">
            <v>0</v>
          </cell>
          <cell r="D265">
            <v>0</v>
          </cell>
        </row>
        <row r="266">
          <cell r="C266">
            <v>0</v>
          </cell>
          <cell r="D266">
            <v>126124</v>
          </cell>
        </row>
        <row r="267">
          <cell r="C267">
            <v>199950</v>
          </cell>
          <cell r="D267">
            <v>4185697.96</v>
          </cell>
        </row>
        <row r="268">
          <cell r="C268">
            <v>0</v>
          </cell>
          <cell r="D268">
            <v>0</v>
          </cell>
        </row>
        <row r="269">
          <cell r="C269">
            <v>4305</v>
          </cell>
          <cell r="D269">
            <v>11690</v>
          </cell>
        </row>
        <row r="270">
          <cell r="C270">
            <v>0</v>
          </cell>
          <cell r="D270">
            <v>0</v>
          </cell>
        </row>
        <row r="272">
          <cell r="C272">
            <v>0</v>
          </cell>
          <cell r="D272">
            <v>123855.43</v>
          </cell>
        </row>
        <row r="273">
          <cell r="C273">
            <v>40316</v>
          </cell>
          <cell r="D273">
            <v>132266.97</v>
          </cell>
        </row>
        <row r="274">
          <cell r="C274">
            <v>5010</v>
          </cell>
          <cell r="D274">
            <v>118304.28</v>
          </cell>
        </row>
        <row r="275">
          <cell r="C275">
            <v>3505.6</v>
          </cell>
          <cell r="D275">
            <v>17311.330000000002</v>
          </cell>
        </row>
        <row r="276">
          <cell r="C276">
            <v>408342.9</v>
          </cell>
          <cell r="D276">
            <v>794673.14</v>
          </cell>
        </row>
        <row r="277">
          <cell r="C277">
            <v>4600</v>
          </cell>
          <cell r="D277">
            <v>576775</v>
          </cell>
        </row>
        <row r="278">
          <cell r="C278">
            <v>35933.379999999997</v>
          </cell>
          <cell r="D278">
            <v>45794.83</v>
          </cell>
        </row>
        <row r="279">
          <cell r="C279">
            <v>120574.6</v>
          </cell>
          <cell r="D279">
            <v>0</v>
          </cell>
        </row>
        <row r="280">
          <cell r="C280">
            <v>1496000</v>
          </cell>
          <cell r="D280">
            <v>5692500</v>
          </cell>
        </row>
        <row r="281">
          <cell r="C281">
            <v>0</v>
          </cell>
          <cell r="D281">
            <v>0</v>
          </cell>
        </row>
        <row r="282">
          <cell r="C282">
            <v>202</v>
          </cell>
          <cell r="D282">
            <v>30297.37</v>
          </cell>
        </row>
        <row r="283">
          <cell r="C283">
            <v>126057.05</v>
          </cell>
          <cell r="D283">
            <v>2991364.47</v>
          </cell>
        </row>
        <row r="284">
          <cell r="C284">
            <v>0</v>
          </cell>
          <cell r="D284">
            <v>637636</v>
          </cell>
        </row>
        <row r="285">
          <cell r="C285">
            <v>0</v>
          </cell>
          <cell r="D285">
            <v>0</v>
          </cell>
        </row>
        <row r="286">
          <cell r="C286">
            <v>0</v>
          </cell>
          <cell r="D286">
            <v>0</v>
          </cell>
        </row>
        <row r="287">
          <cell r="C287">
            <v>0</v>
          </cell>
          <cell r="D287">
            <v>377316.52</v>
          </cell>
        </row>
        <row r="288">
          <cell r="C288">
            <v>0</v>
          </cell>
          <cell r="D288">
            <v>0</v>
          </cell>
        </row>
        <row r="289">
          <cell r="C289">
            <v>0</v>
          </cell>
          <cell r="D289">
            <v>0</v>
          </cell>
        </row>
        <row r="290">
          <cell r="C290">
            <v>1217390</v>
          </cell>
          <cell r="D290">
            <v>20338.98</v>
          </cell>
        </row>
        <row r="291">
          <cell r="C291">
            <v>0</v>
          </cell>
          <cell r="D291">
            <v>186061.85</v>
          </cell>
        </row>
        <row r="292">
          <cell r="C292">
            <v>0</v>
          </cell>
          <cell r="D292">
            <v>139400</v>
          </cell>
        </row>
        <row r="293">
          <cell r="C293">
            <v>0</v>
          </cell>
          <cell r="D293">
            <v>8500</v>
          </cell>
        </row>
        <row r="295">
          <cell r="C295">
            <v>0</v>
          </cell>
          <cell r="D295">
            <v>0</v>
          </cell>
        </row>
        <row r="296">
          <cell r="C296">
            <v>17380</v>
          </cell>
          <cell r="D296">
            <v>160568.42000000001</v>
          </cell>
        </row>
        <row r="299">
          <cell r="C299">
            <v>1525455.69</v>
          </cell>
          <cell r="D299">
            <v>1193947.54</v>
          </cell>
        </row>
        <row r="300">
          <cell r="C300">
            <v>30000</v>
          </cell>
          <cell r="D300">
            <v>0</v>
          </cell>
        </row>
        <row r="301">
          <cell r="D301">
            <v>0</v>
          </cell>
        </row>
      </sheetData>
      <sheetData sheetId="7" refreshError="1"/>
      <sheetData sheetId="8" refreshError="1"/>
      <sheetData sheetId="9" refreshError="1"/>
      <sheetData sheetId="10">
        <row r="617">
          <cell r="C617">
            <v>187691.92</v>
          </cell>
          <cell r="D617">
            <v>657127.22</v>
          </cell>
        </row>
      </sheetData>
      <sheetData sheetId="11">
        <row r="14">
          <cell r="K14">
            <v>57143407.930000007</v>
          </cell>
        </row>
        <row r="28">
          <cell r="E28">
            <v>270856525.61000001</v>
          </cell>
          <cell r="F28">
            <v>26935891.919999998</v>
          </cell>
          <cell r="H28">
            <v>11856936.66</v>
          </cell>
          <cell r="I28">
            <v>38206151.979999997</v>
          </cell>
        </row>
        <row r="29">
          <cell r="E29">
            <v>0</v>
          </cell>
          <cell r="F29">
            <v>1.1059455573558807E-9</v>
          </cell>
          <cell r="G29">
            <v>0</v>
          </cell>
          <cell r="H29">
            <v>0</v>
          </cell>
          <cell r="I29">
            <v>0</v>
          </cell>
          <cell r="K29">
            <v>1.1059455573558807E-9</v>
          </cell>
        </row>
      </sheetData>
      <sheetData sheetId="12" refreshError="1"/>
      <sheetData sheetId="13">
        <row r="11">
          <cell r="B11">
            <v>336546611.24000001</v>
          </cell>
        </row>
        <row r="12">
          <cell r="B12">
            <v>0</v>
          </cell>
        </row>
        <row r="15">
          <cell r="B15">
            <v>17118495.120000001</v>
          </cell>
        </row>
        <row r="16">
          <cell r="B16">
            <v>234614.82</v>
          </cell>
        </row>
        <row r="17">
          <cell r="B17">
            <v>0</v>
          </cell>
          <cell r="C17">
            <v>193172</v>
          </cell>
        </row>
        <row r="36">
          <cell r="B36">
            <v>128249.85</v>
          </cell>
        </row>
        <row r="59">
          <cell r="B59">
            <v>1113311460.5900002</v>
          </cell>
          <cell r="C59">
            <v>1086596554.24</v>
          </cell>
        </row>
      </sheetData>
      <sheetData sheetId="14">
        <row r="11">
          <cell r="B11">
            <v>61459763.119999997</v>
          </cell>
        </row>
        <row r="12">
          <cell r="B12">
            <v>67977276</v>
          </cell>
          <cell r="C12">
            <v>229174633.03999999</v>
          </cell>
        </row>
        <row r="13">
          <cell r="B13">
            <v>0</v>
          </cell>
        </row>
        <row r="17">
          <cell r="B17">
            <v>64337122.599999994</v>
          </cell>
        </row>
        <row r="18">
          <cell r="B18">
            <v>30000</v>
          </cell>
        </row>
        <row r="19">
          <cell r="B19">
            <v>6710750.8900000006</v>
          </cell>
        </row>
        <row r="20">
          <cell r="B20">
            <v>17380.000000001106</v>
          </cell>
          <cell r="C20">
            <v>57303976.350000009</v>
          </cell>
        </row>
        <row r="22">
          <cell r="B22">
            <v>32861073.520000003</v>
          </cell>
          <cell r="C22">
            <v>89820611.929999992</v>
          </cell>
        </row>
        <row r="23">
          <cell r="B23">
            <v>251701.1</v>
          </cell>
          <cell r="C23">
            <v>755694.55</v>
          </cell>
        </row>
        <row r="30">
          <cell r="C30">
            <v>41656479.659999967</v>
          </cell>
        </row>
        <row r="35">
          <cell r="B35">
            <v>25229011.01000002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10">
          <cell r="E10">
            <v>229174633.03999999</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ow r="25">
          <cell r="D25">
            <v>3993167</v>
          </cell>
          <cell r="E25">
            <v>3993167</v>
          </cell>
          <cell r="F25">
            <v>3993167</v>
          </cell>
          <cell r="G25">
            <v>3993167</v>
          </cell>
          <cell r="H25">
            <v>0</v>
          </cell>
          <cell r="I25">
            <v>0</v>
          </cell>
          <cell r="J25">
            <v>0</v>
          </cell>
          <cell r="K25">
            <v>0</v>
          </cell>
          <cell r="L25">
            <v>0</v>
          </cell>
          <cell r="M25">
            <v>0</v>
          </cell>
          <cell r="N25">
            <v>0</v>
          </cell>
          <cell r="O25">
            <v>0</v>
          </cell>
        </row>
        <row r="26">
          <cell r="D26">
            <v>0</v>
          </cell>
          <cell r="E26">
            <v>8372500</v>
          </cell>
          <cell r="F26">
            <v>0</v>
          </cell>
          <cell r="G26">
            <v>25117500</v>
          </cell>
          <cell r="H26">
            <v>0</v>
          </cell>
          <cell r="I26">
            <v>0</v>
          </cell>
          <cell r="J26">
            <v>0</v>
          </cell>
          <cell r="K26">
            <v>0</v>
          </cell>
          <cell r="L26">
            <v>0</v>
          </cell>
          <cell r="M26">
            <v>0</v>
          </cell>
          <cell r="N26">
            <v>0</v>
          </cell>
          <cell r="O26">
            <v>0</v>
          </cell>
        </row>
        <row r="27">
          <cell r="D27">
            <v>4628652</v>
          </cell>
          <cell r="E27">
            <v>4628652</v>
          </cell>
          <cell r="F27">
            <v>4628652</v>
          </cell>
          <cell r="G27">
            <v>4628652</v>
          </cell>
          <cell r="H27">
            <v>0</v>
          </cell>
          <cell r="I27">
            <v>0</v>
          </cell>
          <cell r="J27">
            <v>0</v>
          </cell>
          <cell r="K27">
            <v>0</v>
          </cell>
          <cell r="L27">
            <v>0</v>
          </cell>
          <cell r="M27">
            <v>0</v>
          </cell>
          <cell r="N27">
            <v>0</v>
          </cell>
          <cell r="O27">
            <v>0</v>
          </cell>
        </row>
      </sheetData>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E850"/>
  <sheetViews>
    <sheetView tabSelected="1" workbookViewId="0">
      <selection activeCell="C17" sqref="C17"/>
    </sheetView>
  </sheetViews>
  <sheetFormatPr baseColWidth="10" defaultRowHeight="15" x14ac:dyDescent="0.25"/>
  <cols>
    <col min="1" max="1" width="1.28515625" style="4" customWidth="1"/>
    <col min="2" max="2" width="43.42578125" style="17" customWidth="1"/>
    <col min="3" max="3" width="17.85546875" style="4" customWidth="1"/>
    <col min="4" max="4" width="18.5703125" style="7" customWidth="1"/>
    <col min="5" max="5" width="17.140625" style="4" customWidth="1"/>
    <col min="6" max="6" width="1.140625" customWidth="1"/>
  </cols>
  <sheetData>
    <row r="4" spans="1:5" x14ac:dyDescent="0.25">
      <c r="A4" s="1"/>
      <c r="B4" s="1"/>
      <c r="C4" s="1"/>
      <c r="D4" s="1"/>
      <c r="E4" s="1"/>
    </row>
    <row r="5" spans="1:5" x14ac:dyDescent="0.25">
      <c r="A5" s="2"/>
      <c r="B5" s="2"/>
      <c r="C5" s="2"/>
      <c r="D5" s="3"/>
      <c r="E5" s="2"/>
    </row>
    <row r="6" spans="1:5" x14ac:dyDescent="0.25">
      <c r="B6" s="5" t="s">
        <v>0</v>
      </c>
      <c r="C6" s="5"/>
      <c r="D6" s="5"/>
      <c r="E6" s="5"/>
    </row>
    <row r="7" spans="1:5" x14ac:dyDescent="0.25">
      <c r="B7" s="6" t="s">
        <v>1</v>
      </c>
    </row>
    <row r="8" spans="1:5" x14ac:dyDescent="0.25">
      <c r="B8" s="8" t="s">
        <v>2</v>
      </c>
      <c r="C8" s="9"/>
    </row>
    <row r="9" spans="1:5" x14ac:dyDescent="0.25">
      <c r="B9" s="10"/>
    </row>
    <row r="10" spans="1:5" x14ac:dyDescent="0.25">
      <c r="B10" s="11" t="s">
        <v>3</v>
      </c>
      <c r="C10" s="11"/>
      <c r="D10" s="11"/>
      <c r="E10" s="11"/>
    </row>
    <row r="11" spans="1:5" x14ac:dyDescent="0.25">
      <c r="B11" s="12"/>
    </row>
    <row r="12" spans="1:5" ht="153.75" customHeight="1" x14ac:dyDescent="0.25">
      <c r="B12" s="13" t="s">
        <v>4</v>
      </c>
      <c r="C12" s="13"/>
      <c r="D12" s="13"/>
      <c r="E12" s="13"/>
    </row>
    <row r="13" spans="1:5" x14ac:dyDescent="0.25">
      <c r="B13" s="14"/>
      <c r="C13" s="14"/>
      <c r="D13" s="14"/>
      <c r="E13" s="14"/>
    </row>
    <row r="14" spans="1:5" x14ac:dyDescent="0.25">
      <c r="B14" s="11" t="str">
        <f>("Principales funcionarios al "&amp;[1]BALANZA!B3&amp;".")</f>
        <v>Principales funcionarios al 30 de abril del 2025.</v>
      </c>
      <c r="C14" s="11"/>
      <c r="D14" s="11"/>
      <c r="E14" s="11"/>
    </row>
    <row r="15" spans="1:5" x14ac:dyDescent="0.25">
      <c r="B15" s="15" t="s">
        <v>5</v>
      </c>
      <c r="C15" s="2" t="s">
        <v>6</v>
      </c>
      <c r="D15" s="2"/>
    </row>
    <row r="16" spans="1:5" x14ac:dyDescent="0.25">
      <c r="B16" s="16" t="s">
        <v>7</v>
      </c>
      <c r="C16" s="4" t="s">
        <v>8</v>
      </c>
      <c r="D16" s="4"/>
    </row>
    <row r="17" spans="2:4" x14ac:dyDescent="0.25">
      <c r="B17" s="17" t="s">
        <v>9</v>
      </c>
      <c r="C17" s="4" t="s">
        <v>10</v>
      </c>
      <c r="D17" s="4"/>
    </row>
    <row r="18" spans="2:4" x14ac:dyDescent="0.25">
      <c r="B18" s="18" t="s">
        <v>11</v>
      </c>
      <c r="C18" s="4" t="s">
        <v>12</v>
      </c>
    </row>
    <row r="19" spans="2:4" x14ac:dyDescent="0.25">
      <c r="B19" s="17" t="s">
        <v>13</v>
      </c>
      <c r="C19" s="4" t="s">
        <v>14</v>
      </c>
    </row>
    <row r="20" spans="2:4" x14ac:dyDescent="0.25">
      <c r="B20" s="17" t="s">
        <v>15</v>
      </c>
      <c r="C20" s="4" t="s">
        <v>16</v>
      </c>
    </row>
    <row r="21" spans="2:4" x14ac:dyDescent="0.25">
      <c r="B21" s="17" t="s">
        <v>17</v>
      </c>
      <c r="C21" s="4" t="s">
        <v>18</v>
      </c>
    </row>
    <row r="22" spans="2:4" x14ac:dyDescent="0.25">
      <c r="B22" s="17" t="s">
        <v>19</v>
      </c>
      <c r="C22" s="4" t="s">
        <v>20</v>
      </c>
    </row>
    <row r="23" spans="2:4" x14ac:dyDescent="0.25">
      <c r="B23" s="17" t="s">
        <v>21</v>
      </c>
      <c r="C23" s="4" t="s">
        <v>22</v>
      </c>
    </row>
    <row r="24" spans="2:4" x14ac:dyDescent="0.25">
      <c r="B24" s="17" t="s">
        <v>23</v>
      </c>
      <c r="C24" s="4" t="s">
        <v>24</v>
      </c>
    </row>
    <row r="25" spans="2:4" x14ac:dyDescent="0.25">
      <c r="B25" s="17" t="s">
        <v>25</v>
      </c>
      <c r="C25" s="4" t="s">
        <v>26</v>
      </c>
    </row>
    <row r="26" spans="2:4" x14ac:dyDescent="0.25">
      <c r="B26" s="17" t="s">
        <v>27</v>
      </c>
      <c r="C26" s="4" t="s">
        <v>28</v>
      </c>
    </row>
    <row r="27" spans="2:4" x14ac:dyDescent="0.25">
      <c r="B27" s="16" t="s">
        <v>29</v>
      </c>
      <c r="C27" s="4" t="s">
        <v>30</v>
      </c>
      <c r="D27" s="4"/>
    </row>
    <row r="28" spans="2:4" x14ac:dyDescent="0.25">
      <c r="B28" s="17" t="s">
        <v>31</v>
      </c>
      <c r="C28" s="4" t="s">
        <v>32</v>
      </c>
      <c r="D28" s="4"/>
    </row>
    <row r="29" spans="2:4" x14ac:dyDescent="0.25">
      <c r="B29" s="17" t="s">
        <v>33</v>
      </c>
      <c r="C29" s="4" t="s">
        <v>34</v>
      </c>
      <c r="D29" s="4"/>
    </row>
    <row r="30" spans="2:4" x14ac:dyDescent="0.25">
      <c r="B30" s="16" t="s">
        <v>35</v>
      </c>
      <c r="C30" s="4" t="s">
        <v>36</v>
      </c>
      <c r="D30" s="4"/>
    </row>
    <row r="31" spans="2:4" x14ac:dyDescent="0.25">
      <c r="B31" s="16" t="s">
        <v>37</v>
      </c>
      <c r="C31" s="4" t="s">
        <v>38</v>
      </c>
      <c r="D31" s="4"/>
    </row>
    <row r="32" spans="2:4" x14ac:dyDescent="0.25">
      <c r="D32" s="4"/>
    </row>
    <row r="33" spans="2:4" x14ac:dyDescent="0.25">
      <c r="B33" s="15"/>
      <c r="C33" s="7"/>
      <c r="D33" s="4"/>
    </row>
    <row r="34" spans="2:4" x14ac:dyDescent="0.25">
      <c r="B34" s="15"/>
      <c r="C34" s="7"/>
      <c r="D34" s="4"/>
    </row>
    <row r="35" spans="2:4" x14ac:dyDescent="0.25">
      <c r="B35" s="15"/>
      <c r="C35" s="7"/>
      <c r="D35" s="4"/>
    </row>
    <row r="36" spans="2:4" x14ac:dyDescent="0.25">
      <c r="B36" s="15"/>
      <c r="C36" s="7"/>
      <c r="D36" s="4"/>
    </row>
    <row r="37" spans="2:4" x14ac:dyDescent="0.25">
      <c r="B37" s="15"/>
      <c r="C37" s="7"/>
      <c r="D37" s="4"/>
    </row>
    <row r="38" spans="2:4" x14ac:dyDescent="0.25">
      <c r="B38" s="15"/>
      <c r="C38" s="7"/>
      <c r="D38" s="4"/>
    </row>
    <row r="39" spans="2:4" x14ac:dyDescent="0.25">
      <c r="B39" s="15"/>
      <c r="C39" s="7"/>
      <c r="D39" s="4"/>
    </row>
    <row r="40" spans="2:4" x14ac:dyDescent="0.25">
      <c r="B40" s="15"/>
      <c r="C40" s="7"/>
      <c r="D40" s="4"/>
    </row>
    <row r="41" spans="2:4" x14ac:dyDescent="0.25">
      <c r="B41" s="15"/>
      <c r="C41" s="7"/>
      <c r="D41" s="4"/>
    </row>
    <row r="42" spans="2:4" x14ac:dyDescent="0.25">
      <c r="B42" s="15"/>
      <c r="C42" s="7"/>
      <c r="D42" s="4"/>
    </row>
    <row r="43" spans="2:4" x14ac:dyDescent="0.25">
      <c r="B43" s="15"/>
      <c r="C43" s="7"/>
      <c r="D43" s="4"/>
    </row>
    <row r="44" spans="2:4" x14ac:dyDescent="0.25">
      <c r="B44" s="15"/>
      <c r="C44" s="7"/>
      <c r="D44" s="4"/>
    </row>
    <row r="45" spans="2:4" x14ac:dyDescent="0.25">
      <c r="B45" s="15"/>
      <c r="C45" s="7"/>
      <c r="D45" s="4"/>
    </row>
    <row r="46" spans="2:4" x14ac:dyDescent="0.25">
      <c r="B46" s="15"/>
      <c r="C46" s="7"/>
      <c r="D46" s="4"/>
    </row>
    <row r="47" spans="2:4" x14ac:dyDescent="0.25">
      <c r="B47" s="15"/>
      <c r="C47" s="7"/>
      <c r="D47" s="4"/>
    </row>
    <row r="48" spans="2:4" x14ac:dyDescent="0.25">
      <c r="B48" s="15" t="s">
        <v>39</v>
      </c>
    </row>
    <row r="49" spans="2:5" x14ac:dyDescent="0.25">
      <c r="B49" s="5" t="s">
        <v>40</v>
      </c>
      <c r="C49" s="5"/>
      <c r="D49" s="5"/>
      <c r="E49" s="5"/>
    </row>
    <row r="50" spans="2:5" ht="64.5" customHeight="1" x14ac:dyDescent="0.25">
      <c r="B50" s="19" t="s">
        <v>41</v>
      </c>
      <c r="C50" s="19"/>
      <c r="D50" s="19"/>
      <c r="E50" s="19"/>
    </row>
    <row r="51" spans="2:5" ht="64.5" customHeight="1" x14ac:dyDescent="0.25">
      <c r="B51" s="19" t="s">
        <v>42</v>
      </c>
      <c r="C51" s="19"/>
      <c r="D51" s="19"/>
      <c r="E51" s="19"/>
    </row>
    <row r="52" spans="2:5" ht="64.5" customHeight="1" x14ac:dyDescent="0.25">
      <c r="B52" s="13" t="s">
        <v>43</v>
      </c>
      <c r="C52" s="13"/>
      <c r="D52" s="13"/>
      <c r="E52" s="13"/>
    </row>
    <row r="53" spans="2:5" x14ac:dyDescent="0.25">
      <c r="B53" s="20"/>
      <c r="C53" s="20"/>
      <c r="D53" s="20"/>
      <c r="E53" s="20"/>
    </row>
    <row r="54" spans="2:5" x14ac:dyDescent="0.25">
      <c r="B54" s="20"/>
      <c r="C54" s="20"/>
      <c r="D54" s="20"/>
      <c r="E54" s="20"/>
    </row>
    <row r="55" spans="2:5" x14ac:dyDescent="0.25">
      <c r="B55" s="5" t="s">
        <v>44</v>
      </c>
      <c r="C55" s="5"/>
      <c r="D55" s="5"/>
      <c r="E55" s="5"/>
    </row>
    <row r="56" spans="2:5" x14ac:dyDescent="0.25">
      <c r="B56" s="5" t="s">
        <v>45</v>
      </c>
      <c r="C56" s="5"/>
      <c r="D56" s="5"/>
      <c r="E56" s="5"/>
    </row>
    <row r="57" spans="2:5" x14ac:dyDescent="0.25">
      <c r="B57" s="12"/>
    </row>
    <row r="58" spans="2:5" x14ac:dyDescent="0.25">
      <c r="B58" s="21" t="s">
        <v>46</v>
      </c>
      <c r="C58" s="21"/>
      <c r="D58" s="21"/>
      <c r="E58" s="21"/>
    </row>
    <row r="59" spans="2:5" x14ac:dyDescent="0.25">
      <c r="B59" s="22"/>
      <c r="C59" s="22"/>
      <c r="D59" s="22"/>
      <c r="E59" s="22"/>
    </row>
    <row r="60" spans="2:5" x14ac:dyDescent="0.25">
      <c r="B60" s="22"/>
      <c r="C60" s="22"/>
      <c r="D60" s="22"/>
      <c r="E60" s="22"/>
    </row>
    <row r="61" spans="2:5" x14ac:dyDescent="0.25">
      <c r="B61" s="15" t="s">
        <v>47</v>
      </c>
      <c r="C61" s="22"/>
      <c r="D61" s="23"/>
      <c r="E61" s="22"/>
    </row>
    <row r="62" spans="2:5" x14ac:dyDescent="0.25">
      <c r="B62" s="15" t="s">
        <v>48</v>
      </c>
    </row>
    <row r="63" spans="2:5" x14ac:dyDescent="0.25">
      <c r="B63" s="19" t="s">
        <v>49</v>
      </c>
      <c r="C63" s="19"/>
      <c r="D63" s="19"/>
      <c r="E63" s="19"/>
    </row>
    <row r="64" spans="2:5" x14ac:dyDescent="0.25">
      <c r="B64" s="19" t="s">
        <v>50</v>
      </c>
      <c r="C64" s="19"/>
      <c r="D64" s="19"/>
      <c r="E64" s="19"/>
    </row>
    <row r="65" spans="2:5" x14ac:dyDescent="0.25">
      <c r="B65" s="5" t="s">
        <v>51</v>
      </c>
      <c r="C65" s="5"/>
      <c r="D65" s="5"/>
      <c r="E65" s="5"/>
    </row>
    <row r="66" spans="2:5" x14ac:dyDescent="0.25">
      <c r="B66" s="24" t="s">
        <v>52</v>
      </c>
      <c r="C66" s="24"/>
      <c r="D66" s="24"/>
      <c r="E66" s="24"/>
    </row>
    <row r="67" spans="2:5" x14ac:dyDescent="0.25">
      <c r="B67" s="5" t="s">
        <v>53</v>
      </c>
      <c r="C67" s="5"/>
      <c r="D67" s="5"/>
      <c r="E67" s="5"/>
    </row>
    <row r="68" spans="2:5" x14ac:dyDescent="0.25">
      <c r="B68" s="13" t="s">
        <v>54</v>
      </c>
      <c r="C68" s="13"/>
      <c r="D68" s="13"/>
      <c r="E68" s="13"/>
    </row>
    <row r="69" spans="2:5" x14ac:dyDescent="0.25">
      <c r="B69" s="20"/>
      <c r="C69" s="20"/>
      <c r="D69" s="20"/>
      <c r="E69" s="20"/>
    </row>
    <row r="70" spans="2:5" x14ac:dyDescent="0.25">
      <c r="B70" s="5" t="s">
        <v>55</v>
      </c>
      <c r="C70" s="5"/>
      <c r="D70" s="5"/>
      <c r="E70" s="5"/>
    </row>
    <row r="71" spans="2:5" ht="49.5" customHeight="1" x14ac:dyDescent="0.25">
      <c r="B71" s="19" t="s">
        <v>56</v>
      </c>
      <c r="C71" s="19"/>
      <c r="D71" s="19"/>
      <c r="E71" s="19"/>
    </row>
    <row r="72" spans="2:5" hidden="1" x14ac:dyDescent="0.25">
      <c r="B72" s="25" t="s">
        <v>57</v>
      </c>
      <c r="C72" s="25"/>
      <c r="D72" s="25"/>
      <c r="E72" s="25"/>
    </row>
    <row r="73" spans="2:5" hidden="1" x14ac:dyDescent="0.25">
      <c r="B73" s="25" t="s">
        <v>58</v>
      </c>
      <c r="C73" s="25"/>
      <c r="D73" s="25"/>
      <c r="E73" s="25"/>
    </row>
    <row r="74" spans="2:5" hidden="1" x14ac:dyDescent="0.25">
      <c r="B74" s="25" t="s">
        <v>59</v>
      </c>
      <c r="C74" s="25"/>
      <c r="D74" s="25"/>
      <c r="E74" s="25"/>
    </row>
    <row r="75" spans="2:5" hidden="1" x14ac:dyDescent="0.25">
      <c r="B75" s="25" t="s">
        <v>60</v>
      </c>
      <c r="C75" s="25"/>
      <c r="D75" s="25"/>
      <c r="E75" s="25"/>
    </row>
    <row r="76" spans="2:5" hidden="1" x14ac:dyDescent="0.25">
      <c r="B76" s="25" t="s">
        <v>61</v>
      </c>
      <c r="C76" s="25"/>
      <c r="D76" s="25"/>
      <c r="E76" s="25"/>
    </row>
    <row r="77" spans="2:5" hidden="1" x14ac:dyDescent="0.25">
      <c r="B77" s="25" t="s">
        <v>62</v>
      </c>
      <c r="C77" s="25"/>
      <c r="D77" s="25"/>
      <c r="E77" s="25"/>
    </row>
    <row r="78" spans="2:5" hidden="1" x14ac:dyDescent="0.25">
      <c r="B78" s="25" t="s">
        <v>63</v>
      </c>
      <c r="C78" s="25"/>
      <c r="D78" s="25"/>
      <c r="E78" s="25"/>
    </row>
    <row r="79" spans="2:5" hidden="1" x14ac:dyDescent="0.25">
      <c r="B79" s="25" t="s">
        <v>64</v>
      </c>
      <c r="C79" s="25"/>
      <c r="D79" s="25"/>
      <c r="E79" s="25"/>
    </row>
    <row r="80" spans="2:5" x14ac:dyDescent="0.25">
      <c r="B80" s="26"/>
      <c r="C80" s="26"/>
      <c r="D80" s="27"/>
      <c r="E80" s="26"/>
    </row>
    <row r="81" spans="2:5" x14ac:dyDescent="0.25">
      <c r="B81" s="5" t="s">
        <v>65</v>
      </c>
      <c r="C81" s="5"/>
      <c r="D81" s="5"/>
      <c r="E81" s="5"/>
    </row>
    <row r="82" spans="2:5" ht="40.5" customHeight="1" x14ac:dyDescent="0.25">
      <c r="B82" s="28" t="s">
        <v>66</v>
      </c>
      <c r="C82" s="28"/>
      <c r="D82" s="28"/>
      <c r="E82" s="28"/>
    </row>
    <row r="83" spans="2:5" x14ac:dyDescent="0.25">
      <c r="B83" s="26"/>
      <c r="C83" s="26"/>
      <c r="D83" s="26"/>
      <c r="E83" s="26"/>
    </row>
    <row r="84" spans="2:5" x14ac:dyDescent="0.25">
      <c r="B84" s="29" t="s">
        <v>67</v>
      </c>
      <c r="C84" s="26"/>
      <c r="D84" s="27"/>
      <c r="E84" s="26"/>
    </row>
    <row r="85" spans="2:5" x14ac:dyDescent="0.25">
      <c r="B85" s="5" t="s">
        <v>68</v>
      </c>
      <c r="C85" s="5"/>
      <c r="D85" s="5"/>
      <c r="E85" s="5"/>
    </row>
    <row r="86" spans="2:5" x14ac:dyDescent="0.25">
      <c r="B86" s="5" t="s">
        <v>69</v>
      </c>
      <c r="C86" s="5"/>
      <c r="D86" s="5"/>
      <c r="E86" s="5"/>
    </row>
    <row r="87" spans="2:5" ht="48.75" customHeight="1" x14ac:dyDescent="0.25">
      <c r="B87" s="28" t="s">
        <v>70</v>
      </c>
      <c r="C87" s="28"/>
      <c r="D87" s="28"/>
      <c r="E87" s="28"/>
    </row>
    <row r="88" spans="2:5" ht="26.25" customHeight="1" x14ac:dyDescent="0.25">
      <c r="B88" s="5" t="s">
        <v>71</v>
      </c>
      <c r="C88" s="5"/>
      <c r="D88" s="5"/>
      <c r="E88" s="5"/>
    </row>
    <row r="89" spans="2:5" ht="26.25" customHeight="1" x14ac:dyDescent="0.25">
      <c r="B89" s="19" t="s">
        <v>72</v>
      </c>
      <c r="C89" s="19"/>
      <c r="D89" s="19"/>
      <c r="E89" s="19"/>
    </row>
    <row r="90" spans="2:5" ht="26.25" customHeight="1" x14ac:dyDescent="0.25">
      <c r="B90" s="5" t="s">
        <v>73</v>
      </c>
      <c r="C90" s="5"/>
      <c r="D90" s="5"/>
      <c r="E90" s="5"/>
    </row>
    <row r="91" spans="2:5" ht="26.25" customHeight="1" x14ac:dyDescent="0.25">
      <c r="B91" s="19" t="s">
        <v>74</v>
      </c>
      <c r="C91" s="19"/>
      <c r="D91" s="19"/>
      <c r="E91" s="19"/>
    </row>
    <row r="92" spans="2:5" ht="26.25" customHeight="1" x14ac:dyDescent="0.25">
      <c r="B92" s="5" t="s">
        <v>75</v>
      </c>
      <c r="C92" s="5"/>
      <c r="D92" s="5"/>
      <c r="E92" s="5"/>
    </row>
    <row r="93" spans="2:5" ht="26.25" customHeight="1" x14ac:dyDescent="0.25">
      <c r="B93" s="19" t="s">
        <v>76</v>
      </c>
      <c r="C93" s="19"/>
      <c r="D93" s="19"/>
      <c r="E93" s="19"/>
    </row>
    <row r="94" spans="2:5" ht="26.25" customHeight="1" x14ac:dyDescent="0.25">
      <c r="B94" s="5" t="s">
        <v>77</v>
      </c>
      <c r="C94" s="5"/>
      <c r="D94" s="5"/>
      <c r="E94" s="5"/>
    </row>
    <row r="95" spans="2:5" ht="26.25" customHeight="1" x14ac:dyDescent="0.25">
      <c r="B95" s="19" t="s">
        <v>78</v>
      </c>
      <c r="C95" s="19"/>
      <c r="D95" s="19"/>
      <c r="E95" s="19"/>
    </row>
    <row r="96" spans="2:5" ht="26.25" customHeight="1" x14ac:dyDescent="0.25">
      <c r="B96" s="5" t="s">
        <v>79</v>
      </c>
      <c r="C96" s="5"/>
      <c r="D96" s="5"/>
      <c r="E96" s="5"/>
    </row>
    <row r="97" spans="2:5" ht="26.25" customHeight="1" x14ac:dyDescent="0.25">
      <c r="B97" s="5" t="s">
        <v>80</v>
      </c>
      <c r="C97" s="5"/>
      <c r="D97" s="5"/>
      <c r="E97" s="5"/>
    </row>
    <row r="98" spans="2:5" ht="55.5" customHeight="1" x14ac:dyDescent="0.25">
      <c r="B98" s="19" t="s">
        <v>81</v>
      </c>
      <c r="C98" s="19"/>
      <c r="D98" s="19"/>
      <c r="E98" s="19"/>
    </row>
    <row r="99" spans="2:5" ht="33" customHeight="1" x14ac:dyDescent="0.25">
      <c r="B99" s="19" t="s">
        <v>82</v>
      </c>
      <c r="C99" s="19"/>
      <c r="D99" s="19"/>
      <c r="E99" s="19"/>
    </row>
    <row r="100" spans="2:5" ht="33.75" customHeight="1" x14ac:dyDescent="0.25">
      <c r="B100" s="13" t="s">
        <v>83</v>
      </c>
      <c r="C100" s="13"/>
      <c r="D100" s="13"/>
      <c r="E100" s="13"/>
    </row>
    <row r="101" spans="2:5" ht="55.5" customHeight="1" x14ac:dyDescent="0.25">
      <c r="B101" s="19" t="s">
        <v>84</v>
      </c>
      <c r="C101" s="19"/>
      <c r="D101" s="19"/>
      <c r="E101" s="19"/>
    </row>
    <row r="102" spans="2:5" ht="26.25" customHeight="1" x14ac:dyDescent="0.25">
      <c r="B102" s="14"/>
      <c r="C102" s="14"/>
      <c r="D102" s="14"/>
      <c r="E102" s="14"/>
    </row>
    <row r="103" spans="2:5" ht="26.25" customHeight="1" x14ac:dyDescent="0.25">
      <c r="B103" s="14"/>
      <c r="C103" s="14"/>
      <c r="D103" s="14"/>
      <c r="E103" s="14"/>
    </row>
    <row r="104" spans="2:5" ht="26.25" customHeight="1" x14ac:dyDescent="0.25">
      <c r="B104" s="14"/>
      <c r="C104" s="14"/>
      <c r="D104" s="14"/>
      <c r="E104" s="14"/>
    </row>
    <row r="105" spans="2:5" ht="26.25" customHeight="1" x14ac:dyDescent="0.25">
      <c r="B105" s="14"/>
      <c r="C105" s="14"/>
      <c r="D105" s="14"/>
      <c r="E105" s="14"/>
    </row>
    <row r="106" spans="2:5" ht="26.25" customHeight="1" x14ac:dyDescent="0.25">
      <c r="B106" s="14"/>
      <c r="C106" s="14"/>
      <c r="D106" s="14"/>
      <c r="E106" s="14"/>
    </row>
    <row r="107" spans="2:5" ht="26.25" customHeight="1" x14ac:dyDescent="0.25">
      <c r="B107" s="14"/>
      <c r="C107" s="14"/>
      <c r="D107" s="14"/>
      <c r="E107" s="14"/>
    </row>
    <row r="108" spans="2:5" ht="26.25" customHeight="1" x14ac:dyDescent="0.25">
      <c r="B108" s="14"/>
      <c r="C108" s="14"/>
      <c r="D108" s="14"/>
      <c r="E108" s="14"/>
    </row>
    <row r="109" spans="2:5" ht="26.25" customHeight="1" x14ac:dyDescent="0.25">
      <c r="B109" s="14"/>
      <c r="C109" s="14"/>
      <c r="D109" s="14"/>
      <c r="E109" s="14"/>
    </row>
    <row r="110" spans="2:5" ht="26.25" customHeight="1" x14ac:dyDescent="0.25">
      <c r="B110" s="14"/>
      <c r="C110" s="14"/>
      <c r="D110" s="14"/>
      <c r="E110" s="14"/>
    </row>
    <row r="111" spans="2:5" ht="26.25" customHeight="1" x14ac:dyDescent="0.25">
      <c r="B111" s="14"/>
      <c r="C111" s="14"/>
      <c r="D111" s="14"/>
      <c r="E111" s="14"/>
    </row>
    <row r="112" spans="2:5" ht="26.25" customHeight="1" x14ac:dyDescent="0.25">
      <c r="B112" s="14"/>
      <c r="C112" s="14"/>
      <c r="D112" s="14"/>
      <c r="E112" s="14"/>
    </row>
    <row r="113" spans="2:5" x14ac:dyDescent="0.25">
      <c r="B113" s="14"/>
      <c r="C113" s="14"/>
      <c r="D113" s="14"/>
      <c r="E113" s="14"/>
    </row>
    <row r="114" spans="2:5" x14ac:dyDescent="0.25">
      <c r="B114" s="14"/>
      <c r="C114" s="14"/>
      <c r="D114" s="14"/>
      <c r="E114" s="14"/>
    </row>
    <row r="115" spans="2:5" x14ac:dyDescent="0.25">
      <c r="B115" s="14"/>
      <c r="C115" s="14"/>
      <c r="D115" s="14"/>
      <c r="E115" s="14"/>
    </row>
    <row r="116" spans="2:5" x14ac:dyDescent="0.25">
      <c r="B116" s="14"/>
      <c r="C116" s="14"/>
      <c r="D116" s="14"/>
      <c r="E116" s="14"/>
    </row>
    <row r="117" spans="2:5" ht="50.25" customHeight="1" x14ac:dyDescent="0.25">
      <c r="B117" s="19" t="s">
        <v>85</v>
      </c>
      <c r="C117" s="19"/>
      <c r="D117" s="19"/>
      <c r="E117" s="19"/>
    </row>
    <row r="118" spans="2:5" ht="87" customHeight="1" x14ac:dyDescent="0.25">
      <c r="B118" s="19" t="s">
        <v>86</v>
      </c>
      <c r="C118" s="19"/>
      <c r="D118" s="19"/>
      <c r="E118" s="19"/>
    </row>
    <row r="119" spans="2:5" ht="10.5" customHeight="1" x14ac:dyDescent="0.25">
      <c r="B119" s="14"/>
      <c r="C119" s="14"/>
      <c r="D119" s="14"/>
      <c r="E119" s="14"/>
    </row>
    <row r="120" spans="2:5" ht="50.25" customHeight="1" x14ac:dyDescent="0.25">
      <c r="B120" s="11" t="s">
        <v>87</v>
      </c>
      <c r="C120" s="11"/>
      <c r="D120" s="11"/>
      <c r="E120" s="11"/>
    </row>
    <row r="121" spans="2:5" ht="74.25" customHeight="1" x14ac:dyDescent="0.25">
      <c r="B121" s="19" t="s">
        <v>88</v>
      </c>
      <c r="C121" s="19"/>
      <c r="D121" s="19"/>
      <c r="E121" s="19"/>
    </row>
    <row r="122" spans="2:5" ht="50.25" customHeight="1" x14ac:dyDescent="0.25">
      <c r="B122" s="19" t="s">
        <v>89</v>
      </c>
      <c r="C122" s="19"/>
      <c r="D122" s="19"/>
      <c r="E122" s="19"/>
    </row>
    <row r="123" spans="2:5" ht="32.25" customHeight="1" x14ac:dyDescent="0.25">
      <c r="B123" s="11" t="s">
        <v>90</v>
      </c>
      <c r="C123" s="11"/>
      <c r="D123" s="11"/>
      <c r="E123" s="11"/>
    </row>
    <row r="124" spans="2:5" ht="39" customHeight="1" x14ac:dyDescent="0.25">
      <c r="B124" s="19" t="s">
        <v>91</v>
      </c>
      <c r="C124" s="19"/>
      <c r="D124" s="19"/>
      <c r="E124" s="19"/>
    </row>
    <row r="125" spans="2:5" ht="25.5" customHeight="1" x14ac:dyDescent="0.25">
      <c r="B125" s="14"/>
      <c r="C125" s="14"/>
      <c r="D125" s="14"/>
      <c r="E125" s="14"/>
    </row>
    <row r="126" spans="2:5" ht="25.5" customHeight="1" x14ac:dyDescent="0.25">
      <c r="B126" s="14"/>
      <c r="C126" s="14"/>
      <c r="D126" s="14"/>
      <c r="E126" s="14"/>
    </row>
    <row r="127" spans="2:5" ht="25.5" customHeight="1" x14ac:dyDescent="0.25">
      <c r="B127" s="14"/>
      <c r="C127" s="14"/>
      <c r="D127" s="14"/>
      <c r="E127" s="14"/>
    </row>
    <row r="128" spans="2:5" ht="25.5" customHeight="1" x14ac:dyDescent="0.25">
      <c r="B128" s="14"/>
      <c r="C128" s="14"/>
      <c r="D128" s="14"/>
      <c r="E128" s="14"/>
    </row>
    <row r="129" spans="2:5" ht="25.5" customHeight="1" x14ac:dyDescent="0.25">
      <c r="B129" s="14"/>
      <c r="C129" s="14"/>
      <c r="D129" s="14"/>
      <c r="E129" s="14"/>
    </row>
    <row r="130" spans="2:5" ht="25.5" customHeight="1" x14ac:dyDescent="0.25">
      <c r="B130" s="14"/>
      <c r="C130" s="14"/>
      <c r="D130" s="14"/>
      <c r="E130" s="14"/>
    </row>
    <row r="131" spans="2:5" ht="25.5" customHeight="1" x14ac:dyDescent="0.25">
      <c r="B131" s="14"/>
      <c r="C131" s="14"/>
      <c r="D131" s="14"/>
      <c r="E131" s="14"/>
    </row>
    <row r="132" spans="2:5" ht="25.5" customHeight="1" x14ac:dyDescent="0.25">
      <c r="B132" s="14"/>
      <c r="C132" s="14"/>
      <c r="D132" s="14"/>
      <c r="E132" s="14"/>
    </row>
    <row r="133" spans="2:5" ht="25.5" customHeight="1" x14ac:dyDescent="0.25">
      <c r="B133" s="14"/>
      <c r="C133" s="14"/>
      <c r="D133" s="14"/>
      <c r="E133" s="14"/>
    </row>
    <row r="134" spans="2:5" ht="25.5" customHeight="1" x14ac:dyDescent="0.25">
      <c r="B134" s="14"/>
      <c r="C134" s="14"/>
      <c r="D134" s="14"/>
      <c r="E134" s="14"/>
    </row>
    <row r="135" spans="2:5" ht="25.5" customHeight="1" x14ac:dyDescent="0.25">
      <c r="B135" s="14"/>
      <c r="C135" s="14"/>
      <c r="D135" s="14"/>
      <c r="E135" s="14"/>
    </row>
    <row r="136" spans="2:5" ht="25.5" customHeight="1" x14ac:dyDescent="0.25">
      <c r="B136" s="14"/>
      <c r="C136" s="14"/>
      <c r="D136" s="14"/>
      <c r="E136" s="14"/>
    </row>
    <row r="137" spans="2:5" ht="30.75" customHeight="1" x14ac:dyDescent="0.25">
      <c r="B137" s="5" t="s">
        <v>92</v>
      </c>
      <c r="C137" s="5"/>
      <c r="D137" s="5"/>
      <c r="E137" s="5"/>
    </row>
    <row r="138" spans="2:5" ht="25.5" customHeight="1" x14ac:dyDescent="0.25">
      <c r="B138" s="5" t="s">
        <v>93</v>
      </c>
      <c r="C138" s="5"/>
      <c r="D138" s="5"/>
      <c r="E138" s="5"/>
    </row>
    <row r="139" spans="2:5" ht="27.75" customHeight="1" x14ac:dyDescent="0.25">
      <c r="B139" s="13" t="str">
        <f>("Un detalle del "&amp;_Toc208202813&amp;" al "&amp;[1]BALANZA!$B$3&amp;" "&amp;[1]BALANZA!$C$3&amp;" es como se detalla a continuación:")</f>
        <v>Un detalle del Efectivo y equivalentes de efectivo. al 30 de abril del 2025 - 2024 es como se detalla a continuación:</v>
      </c>
      <c r="C139" s="30"/>
      <c r="D139" s="30"/>
      <c r="E139" s="30"/>
    </row>
    <row r="140" spans="2:5" ht="35.25" customHeight="1" x14ac:dyDescent="0.25">
      <c r="B140" s="19" t="str">
        <f>("El efectivo disponible en caja y cuentas bancarias presenta los siguientes ascenso  para el "&amp;C144&amp;" RD$"&amp;R153&amp;"  y para el "&amp;D144&amp;" fue de RD$ "&amp;R154&amp;" , el cual se detalla a continuación:")</f>
        <v>El efectivo disponible en caja y cuentas bancarias presenta los siguientes ascenso  para el 2025 RD$  y para el 2024 fue de RD$  , el cual se detalla a continuación:</v>
      </c>
      <c r="C140" s="19"/>
      <c r="D140" s="19"/>
      <c r="E140" s="19"/>
    </row>
    <row r="141" spans="2:5" ht="88.5" customHeight="1" x14ac:dyDescent="0.25">
      <c r="B141" s="19" t="s">
        <v>94</v>
      </c>
      <c r="C141" s="19"/>
      <c r="D141" s="19"/>
      <c r="E141" s="19"/>
    </row>
    <row r="142" spans="2:5" ht="31.5" customHeight="1" x14ac:dyDescent="0.25">
      <c r="B142" s="19" t="s">
        <v>95</v>
      </c>
      <c r="C142" s="19"/>
      <c r="D142" s="19"/>
      <c r="E142" s="19"/>
    </row>
    <row r="143" spans="2:5" x14ac:dyDescent="0.25">
      <c r="B143" s="12"/>
    </row>
    <row r="144" spans="2:5" x14ac:dyDescent="0.25">
      <c r="B144" s="31" t="s">
        <v>96</v>
      </c>
      <c r="C144" s="32">
        <f>+[1]BALANZA!B4</f>
        <v>2025</v>
      </c>
      <c r="D144" s="33">
        <f>+[1]BALANZA!C4</f>
        <v>2024</v>
      </c>
      <c r="E144" s="34" t="s">
        <v>97</v>
      </c>
    </row>
    <row r="145" spans="1:5" x14ac:dyDescent="0.25">
      <c r="B145" s="35" t="s">
        <v>98</v>
      </c>
      <c r="C145" s="36">
        <f>+'[1]BALANZA G'!C12</f>
        <v>0</v>
      </c>
      <c r="D145" s="37">
        <f>+'[1]BALANZA G'!D12</f>
        <v>0</v>
      </c>
      <c r="E145" s="38">
        <f t="shared" ref="E145:E151" si="0">+C145-D145</f>
        <v>0</v>
      </c>
    </row>
    <row r="146" spans="1:5" x14ac:dyDescent="0.25">
      <c r="B146" s="35" t="s">
        <v>99</v>
      </c>
      <c r="C146" s="36">
        <f>+'[1]BALANZA G'!C13</f>
        <v>95000</v>
      </c>
      <c r="D146" s="37">
        <f>+'[1]BALANZA G'!D13</f>
        <v>110000</v>
      </c>
      <c r="E146" s="38">
        <f t="shared" si="0"/>
        <v>-15000</v>
      </c>
    </row>
    <row r="147" spans="1:5" x14ac:dyDescent="0.25">
      <c r="B147" s="35" t="s">
        <v>100</v>
      </c>
      <c r="C147" s="36">
        <f>+'[1]BALANZA G'!C23</f>
        <v>1366.2</v>
      </c>
      <c r="D147" s="36">
        <f>IF(+'[1]BALANZA G'!D23&gt;0,+'[1]BALANZA G'!D23,0)</f>
        <v>236.2</v>
      </c>
      <c r="E147" s="38">
        <f t="shared" si="0"/>
        <v>1130</v>
      </c>
    </row>
    <row r="148" spans="1:5" x14ac:dyDescent="0.25">
      <c r="B148" s="39" t="s">
        <v>101</v>
      </c>
      <c r="C148" s="36">
        <f>+'[1]BALANZA G'!C25</f>
        <v>1382703.87</v>
      </c>
      <c r="D148" s="36">
        <f>IF(+'[1]BALANZA G'!D25&gt;0,+'[1]BALANZA G'!D25,0)</f>
        <v>2093182.13</v>
      </c>
      <c r="E148" s="40">
        <f t="shared" si="0"/>
        <v>-710478.25999999978</v>
      </c>
    </row>
    <row r="149" spans="1:5" ht="30" x14ac:dyDescent="0.25">
      <c r="B149" s="35" t="s">
        <v>102</v>
      </c>
      <c r="C149" s="36">
        <f>+'[1]BALANZA G'!C24</f>
        <v>10.75</v>
      </c>
      <c r="D149" s="36">
        <f>IF(+'[1]BALANZA G'!D24&gt;0,+'[1]BALANZA G'!D24,0)</f>
        <v>1310.75</v>
      </c>
      <c r="E149" s="38">
        <f t="shared" si="0"/>
        <v>-1300</v>
      </c>
    </row>
    <row r="150" spans="1:5" x14ac:dyDescent="0.25">
      <c r="B150" s="35" t="s">
        <v>103</v>
      </c>
      <c r="C150" s="36">
        <f>+'[1]BALANZA G'!C26</f>
        <v>806880.13</v>
      </c>
      <c r="D150" s="36">
        <f>+'[1]BALANZA G'!D26</f>
        <v>453230.39</v>
      </c>
      <c r="E150" s="38">
        <f t="shared" si="0"/>
        <v>353649.74</v>
      </c>
    </row>
    <row r="151" spans="1:5" x14ac:dyDescent="0.25">
      <c r="B151" s="41" t="s">
        <v>104</v>
      </c>
      <c r="C151" s="42">
        <f>+'[1]BALANZA G'!C27+'[1]BALANZA G'!C22</f>
        <v>334260650.29000002</v>
      </c>
      <c r="D151" s="36">
        <f>+'[1]BALANZA G'!D27+'[1]BALANZA G'!D22</f>
        <v>302831372.16000003</v>
      </c>
      <c r="E151" s="38">
        <f t="shared" si="0"/>
        <v>31429278.129999995</v>
      </c>
    </row>
    <row r="152" spans="1:5" x14ac:dyDescent="0.25">
      <c r="B152" s="41" t="s">
        <v>105</v>
      </c>
      <c r="C152" s="42">
        <f>+'[1]BALANZA G'!C28</f>
        <v>0</v>
      </c>
      <c r="D152" s="36">
        <f>+'[1]BALANZA G'!D28</f>
        <v>0</v>
      </c>
      <c r="E152" s="38"/>
    </row>
    <row r="153" spans="1:5" x14ac:dyDescent="0.25">
      <c r="A153" s="43"/>
      <c r="B153" s="44" t="s">
        <v>106</v>
      </c>
      <c r="C153" s="45">
        <f>SUM(C145:C152)</f>
        <v>336546611.24000001</v>
      </c>
      <c r="D153" s="45">
        <f>SUM(D145:D152)</f>
        <v>305489331.63000005</v>
      </c>
      <c r="E153" s="46">
        <f>SUM(E145:E149)</f>
        <v>-725648.25999999978</v>
      </c>
    </row>
    <row r="154" spans="1:5" x14ac:dyDescent="0.25">
      <c r="A154" s="43"/>
      <c r="B154" s="47"/>
      <c r="C154" s="48">
        <f>+C153-'[1]ES F '!B11</f>
        <v>0</v>
      </c>
      <c r="D154" s="49"/>
      <c r="E154" s="50"/>
    </row>
    <row r="155" spans="1:5" x14ac:dyDescent="0.25">
      <c r="A155" s="43"/>
      <c r="B155" s="51" t="str">
        <f>("Cambio porcentual con relación al "&amp;$D$144&amp;".")</f>
        <v>Cambio porcentual con relación al 2024.</v>
      </c>
      <c r="C155" s="52"/>
      <c r="D155" s="53" t="str">
        <f>IF(E155&gt;=0,"Aumento","Disminución")</f>
        <v>Disminución</v>
      </c>
      <c r="E155" s="54">
        <f>+E153/D153</f>
        <v>-2.3753636702406491E-3</v>
      </c>
    </row>
    <row r="156" spans="1:5" x14ac:dyDescent="0.25">
      <c r="A156" s="43"/>
      <c r="B156" s="55"/>
      <c r="C156" s="55"/>
      <c r="D156" s="56"/>
      <c r="E156" s="57"/>
    </row>
    <row r="157" spans="1:5" x14ac:dyDescent="0.25">
      <c r="A157" s="43"/>
      <c r="B157" s="55"/>
      <c r="C157" s="55"/>
      <c r="D157" s="56"/>
      <c r="E157" s="57"/>
    </row>
    <row r="158" spans="1:5" x14ac:dyDescent="0.25">
      <c r="A158" s="43"/>
      <c r="B158" s="55"/>
      <c r="C158" s="55"/>
      <c r="D158" s="56"/>
      <c r="E158" s="57"/>
    </row>
    <row r="159" spans="1:5" x14ac:dyDescent="0.25">
      <c r="A159" s="43"/>
      <c r="B159" s="55"/>
      <c r="C159" s="55"/>
      <c r="D159" s="56"/>
      <c r="E159" s="57"/>
    </row>
    <row r="160" spans="1:5" x14ac:dyDescent="0.25">
      <c r="A160" s="43"/>
      <c r="B160" s="55"/>
      <c r="C160" s="55"/>
      <c r="D160" s="56"/>
      <c r="E160" s="57"/>
    </row>
    <row r="161" spans="1:5" x14ac:dyDescent="0.25">
      <c r="A161" s="43"/>
      <c r="B161" s="55"/>
      <c r="C161" s="55"/>
      <c r="D161" s="56"/>
      <c r="E161" s="57"/>
    </row>
    <row r="162" spans="1:5" x14ac:dyDescent="0.25">
      <c r="A162" s="43"/>
      <c r="B162" s="55"/>
      <c r="C162" s="55"/>
      <c r="D162" s="56"/>
      <c r="E162" s="57"/>
    </row>
    <row r="163" spans="1:5" x14ac:dyDescent="0.25">
      <c r="A163" s="43"/>
      <c r="B163" s="55"/>
      <c r="C163" s="55"/>
      <c r="D163" s="56"/>
      <c r="E163" s="57"/>
    </row>
    <row r="164" spans="1:5" x14ac:dyDescent="0.25">
      <c r="A164" s="43"/>
      <c r="B164" s="55"/>
      <c r="C164" s="55"/>
      <c r="D164" s="56"/>
      <c r="E164" s="57"/>
    </row>
    <row r="165" spans="1:5" x14ac:dyDescent="0.25">
      <c r="A165" s="43"/>
      <c r="B165" s="55"/>
      <c r="C165" s="55"/>
      <c r="D165" s="56"/>
      <c r="E165" s="57"/>
    </row>
    <row r="166" spans="1:5" x14ac:dyDescent="0.25">
      <c r="A166" s="43"/>
      <c r="B166" s="55"/>
      <c r="C166" s="55"/>
      <c r="D166" s="56"/>
      <c r="E166" s="57"/>
    </row>
    <row r="167" spans="1:5" x14ac:dyDescent="0.25">
      <c r="A167" s="43"/>
      <c r="B167" s="55"/>
      <c r="C167" s="55"/>
      <c r="D167" s="56"/>
      <c r="E167" s="57"/>
    </row>
    <row r="168" spans="1:5" x14ac:dyDescent="0.25">
      <c r="A168" s="43"/>
      <c r="B168" s="55"/>
      <c r="C168" s="55"/>
      <c r="D168" s="56"/>
      <c r="E168" s="57"/>
    </row>
    <row r="169" spans="1:5" x14ac:dyDescent="0.25">
      <c r="A169" s="43"/>
      <c r="B169" s="55"/>
      <c r="C169" s="55"/>
      <c r="D169" s="56"/>
      <c r="E169" s="57"/>
    </row>
    <row r="170" spans="1:5" x14ac:dyDescent="0.25">
      <c r="A170" s="43"/>
      <c r="B170" s="55"/>
      <c r="C170" s="55"/>
      <c r="D170" s="56"/>
      <c r="E170" s="57"/>
    </row>
    <row r="171" spans="1:5" x14ac:dyDescent="0.25">
      <c r="A171" s="43"/>
      <c r="B171" s="55"/>
      <c r="C171" s="55"/>
      <c r="D171" s="56"/>
      <c r="E171" s="57"/>
    </row>
    <row r="172" spans="1:5" x14ac:dyDescent="0.25">
      <c r="A172" s="43"/>
      <c r="B172" s="55"/>
      <c r="C172" s="55"/>
      <c r="D172" s="56"/>
      <c r="E172" s="57"/>
    </row>
    <row r="173" spans="1:5" x14ac:dyDescent="0.25">
      <c r="A173" s="43"/>
      <c r="B173" s="55"/>
      <c r="C173" s="55"/>
      <c r="D173" s="56"/>
      <c r="E173" s="57"/>
    </row>
    <row r="174" spans="1:5" x14ac:dyDescent="0.25">
      <c r="A174" s="43"/>
      <c r="B174" s="55"/>
      <c r="C174" s="55"/>
      <c r="D174" s="56"/>
      <c r="E174" s="57"/>
    </row>
    <row r="175" spans="1:5" x14ac:dyDescent="0.25">
      <c r="A175" s="43"/>
      <c r="B175" s="55"/>
      <c r="C175" s="55"/>
      <c r="D175" s="56"/>
      <c r="E175" s="57"/>
    </row>
    <row r="176" spans="1:5" x14ac:dyDescent="0.25">
      <c r="A176" s="43"/>
      <c r="B176" s="55"/>
      <c r="C176" s="55"/>
      <c r="D176" s="56"/>
      <c r="E176" s="57"/>
    </row>
    <row r="177" spans="1:5" x14ac:dyDescent="0.25">
      <c r="A177" s="43"/>
      <c r="B177" s="55"/>
      <c r="C177" s="55"/>
      <c r="D177" s="56"/>
      <c r="E177" s="57"/>
    </row>
    <row r="178" spans="1:5" x14ac:dyDescent="0.25">
      <c r="A178" s="43"/>
      <c r="B178" s="58"/>
      <c r="C178" s="58"/>
      <c r="D178" s="56"/>
      <c r="E178" s="59"/>
    </row>
    <row r="179" spans="1:5" x14ac:dyDescent="0.25">
      <c r="A179" s="43"/>
      <c r="B179" s="58"/>
      <c r="C179" s="58"/>
      <c r="D179" s="56"/>
      <c r="E179" s="59"/>
    </row>
    <row r="180" spans="1:5" x14ac:dyDescent="0.25">
      <c r="A180" s="43"/>
      <c r="B180" s="58"/>
      <c r="C180" s="58"/>
      <c r="D180" s="56"/>
      <c r="E180" s="59"/>
    </row>
    <row r="181" spans="1:5" x14ac:dyDescent="0.25">
      <c r="A181" s="43"/>
      <c r="B181" s="58"/>
      <c r="C181" s="58"/>
      <c r="D181" s="56"/>
      <c r="E181" s="59"/>
    </row>
    <row r="182" spans="1:5" x14ac:dyDescent="0.25">
      <c r="B182" s="10" t="s">
        <v>107</v>
      </c>
    </row>
    <row r="183" spans="1:5" x14ac:dyDescent="0.25">
      <c r="B183" s="60" t="s">
        <v>108</v>
      </c>
      <c r="C183" s="60"/>
      <c r="D183" s="60"/>
      <c r="E183" s="60"/>
    </row>
    <row r="184" spans="1:5" ht="24.75" customHeight="1" x14ac:dyDescent="0.25">
      <c r="B184" s="13" t="str">
        <f>("Un detalle del "&amp;B183&amp;" al "&amp;[1]BALANZA!$B$3&amp;" "&amp;[1]BALANZA!$C$3&amp;" es como se detalla a continuación:")</f>
        <v>Un detalle del Inversiones a corto plazo al 30 de abril del 2025 - 2024 es como se detalla a continuación:</v>
      </c>
      <c r="C184" s="30"/>
      <c r="D184" s="30"/>
      <c r="E184" s="30"/>
    </row>
    <row r="185" spans="1:5" ht="60.75" customHeight="1" x14ac:dyDescent="0.25">
      <c r="B185" s="19" t="str">
        <f>("Las inversiones a corto plazo enta integrado por un certificado financiero en el banco de reservas a un año renobable a la tasa de 0.12% anual, para el "&amp;C187&amp;" el total era de RD$ "&amp;R190&amp;" en vista de que se cancelo y para el "&amp;D187&amp;" el total fue de RD$ "&amp;R191&amp;" , Según el siguiente detalle:")</f>
        <v>Las inversiones a corto plazo enta integrado por un certificado financiero en el banco de reservas a un año renobable a la tasa de 0.12% anual, para el 2025 el total era de RD$  en vista de que se cancelo y para el 2024 el total fue de RD$  , Según el siguiente detalle:</v>
      </c>
      <c r="C185" s="19"/>
      <c r="D185" s="19"/>
      <c r="E185" s="19"/>
    </row>
    <row r="186" spans="1:5" x14ac:dyDescent="0.25">
      <c r="B186" s="61"/>
    </row>
    <row r="187" spans="1:5" x14ac:dyDescent="0.25">
      <c r="B187" s="34" t="s">
        <v>96</v>
      </c>
      <c r="C187" s="34">
        <f>+[1]BALANZA!B4</f>
        <v>2025</v>
      </c>
      <c r="D187" s="34">
        <f>+[1]BALANZA!C4</f>
        <v>2024</v>
      </c>
      <c r="E187" s="34" t="s">
        <v>97</v>
      </c>
    </row>
    <row r="188" spans="1:5" x14ac:dyDescent="0.25">
      <c r="B188" s="62" t="s">
        <v>109</v>
      </c>
      <c r="C188" s="63">
        <f>+'[1]BALANZA G'!C15</f>
        <v>80000</v>
      </c>
      <c r="D188" s="64">
        <f>+'[1]BALANZA G'!D15</f>
        <v>80000</v>
      </c>
      <c r="E188" s="65">
        <f>+C188-D188</f>
        <v>0</v>
      </c>
    </row>
    <row r="189" spans="1:5" x14ac:dyDescent="0.25">
      <c r="B189" s="62" t="s">
        <v>110</v>
      </c>
      <c r="C189" s="66">
        <f>+'[1]BALANZA G'!C30</f>
        <v>0</v>
      </c>
      <c r="D189" s="67">
        <f>+'[1]BALANZA G'!D30</f>
        <v>0</v>
      </c>
      <c r="E189" s="68">
        <f>+C189-D189</f>
        <v>0</v>
      </c>
    </row>
    <row r="190" spans="1:5" x14ac:dyDescent="0.25">
      <c r="B190" s="69" t="s">
        <v>111</v>
      </c>
      <c r="C190" s="46">
        <f>SUM(C189:C189)</f>
        <v>0</v>
      </c>
      <c r="D190" s="70">
        <f>SUM(D189:D189)</f>
        <v>0</v>
      </c>
      <c r="E190" s="46">
        <f>SUM(E188:E189)</f>
        <v>0</v>
      </c>
    </row>
    <row r="191" spans="1:5" x14ac:dyDescent="0.25">
      <c r="B191" s="71"/>
      <c r="C191" s="72">
        <f>+C190-'[1]ES F '!B12</f>
        <v>0</v>
      </c>
      <c r="D191" s="73"/>
      <c r="E191" s="72"/>
    </row>
    <row r="192" spans="1:5" x14ac:dyDescent="0.25">
      <c r="A192" s="43"/>
      <c r="B192" s="51" t="str">
        <f>("Cambio porcentual con relación al "&amp;$D$144&amp;".")</f>
        <v>Cambio porcentual con relación al 2024.</v>
      </c>
      <c r="C192" s="52"/>
      <c r="D192" s="74" t="e">
        <f>IF(E192&gt;=0,"Aumento","Disminución")</f>
        <v>#DIV/0!</v>
      </c>
      <c r="E192" s="54" t="e">
        <f>+E190/D190</f>
        <v>#DIV/0!</v>
      </c>
    </row>
    <row r="193" spans="1:5" x14ac:dyDescent="0.25">
      <c r="A193" s="43"/>
      <c r="B193" s="58"/>
      <c r="C193" s="58"/>
      <c r="D193" s="56"/>
      <c r="E193" s="59"/>
    </row>
    <row r="194" spans="1:5" x14ac:dyDescent="0.25">
      <c r="B194" s="61" t="s">
        <v>112</v>
      </c>
    </row>
    <row r="195" spans="1:5" x14ac:dyDescent="0.25">
      <c r="B195" s="60" t="s">
        <v>113</v>
      </c>
      <c r="C195" s="60"/>
      <c r="D195" s="60"/>
      <c r="E195" s="60"/>
    </row>
    <row r="196" spans="1:5" ht="21.75" customHeight="1" x14ac:dyDescent="0.25">
      <c r="B196" s="13" t="str">
        <f>("Un detalle de las "&amp;B195&amp;" al "&amp;[1]BALANZA!$B$3&amp;""&amp;[1]BALANZA!$C$3&amp;" es como se detalla a continuación:")</f>
        <v>Un detalle de las Cuentas por cobrar a corto plazo al 30 de abril del 2025- 2024 es como se detalla a continuación:</v>
      </c>
      <c r="C196" s="30"/>
      <c r="D196" s="30"/>
      <c r="E196" s="30"/>
    </row>
    <row r="197" spans="1:5" ht="58.5" customHeight="1" x14ac:dyDescent="0.25">
      <c r="A197" s="75"/>
      <c r="B197" s="76" t="str">
        <f>("Las Cuentas por cobrar  están representados por las partidas  Cuentas por cobrar Empleados, Para el "&amp;C198&amp;" el monto total de estas partidas fue por RD$ "&amp;R201&amp;" y para el "&amp;D198&amp;" el monto era RD$ "&amp;R202&amp;"  ,   de Según el siguiente detalle:")</f>
        <v>Las Cuentas por cobrar  están representados por las partidas  Cuentas por cobrar Empleados, Para el 2025 el monto total de estas partidas fue por RD$  y para el 2024 el monto era RD$   ,   de Según el siguiente detalle:</v>
      </c>
      <c r="C197" s="76"/>
      <c r="D197" s="76"/>
      <c r="E197" s="76"/>
    </row>
    <row r="198" spans="1:5" x14ac:dyDescent="0.25">
      <c r="B198" s="31" t="s">
        <v>96</v>
      </c>
      <c r="C198" s="31">
        <f>+C415</f>
        <v>2025</v>
      </c>
      <c r="D198" s="31">
        <f>+D415</f>
        <v>2024</v>
      </c>
      <c r="E198" s="31" t="s">
        <v>97</v>
      </c>
    </row>
    <row r="199" spans="1:5" x14ac:dyDescent="0.25">
      <c r="B199" s="39" t="s">
        <v>114</v>
      </c>
      <c r="C199" s="77">
        <f>+'[1]BALANZA G'!C34-C200</f>
        <v>0</v>
      </c>
      <c r="D199" s="78">
        <v>13208228.880000001</v>
      </c>
      <c r="E199" s="79">
        <f>+C199-D199</f>
        <v>-13208228.880000001</v>
      </c>
    </row>
    <row r="200" spans="1:5" x14ac:dyDescent="0.25">
      <c r="B200" s="39" t="s">
        <v>115</v>
      </c>
      <c r="C200" s="80">
        <f>+'[1]BALANZA G'!C34</f>
        <v>0</v>
      </c>
      <c r="D200" s="37">
        <f>+'[1]BALANZA G'!D34-D199</f>
        <v>-13206878.760000002</v>
      </c>
      <c r="E200" s="79">
        <f>+C200-D200</f>
        <v>13206878.760000002</v>
      </c>
    </row>
    <row r="201" spans="1:5" x14ac:dyDescent="0.25">
      <c r="B201" s="81" t="s">
        <v>116</v>
      </c>
      <c r="C201" s="45">
        <f>SUM(C199:C200)</f>
        <v>0</v>
      </c>
      <c r="D201" s="45">
        <f>SUM(D199:D200)</f>
        <v>1350.1199999991804</v>
      </c>
      <c r="E201" s="45">
        <f>SUM(E199:E200)</f>
        <v>-1350.1199999991804</v>
      </c>
    </row>
    <row r="202" spans="1:5" x14ac:dyDescent="0.25">
      <c r="B202" s="82"/>
      <c r="C202" s="83"/>
      <c r="D202" s="84"/>
      <c r="E202" s="85"/>
    </row>
    <row r="203" spans="1:5" x14ac:dyDescent="0.25">
      <c r="A203" s="43"/>
      <c r="B203" s="51" t="str">
        <f>("Cambio porcentual con relación al "&amp;$D$144&amp;".")</f>
        <v>Cambio porcentual con relación al 2024.</v>
      </c>
      <c r="C203" s="52"/>
      <c r="D203" s="53" t="str">
        <f>IF(E203&gt;=0,"Aumento","Disminución")</f>
        <v>Disminución</v>
      </c>
      <c r="E203" s="86">
        <f>IFERROR(+E201/D201,0)</f>
        <v>-1</v>
      </c>
    </row>
    <row r="204" spans="1:5" x14ac:dyDescent="0.25">
      <c r="B204" s="87"/>
    </row>
    <row r="205" spans="1:5" x14ac:dyDescent="0.25">
      <c r="B205" s="88" t="s">
        <v>117</v>
      </c>
      <c r="C205" s="88"/>
      <c r="D205" s="88"/>
      <c r="E205" s="88"/>
    </row>
    <row r="206" spans="1:5" x14ac:dyDescent="0.25">
      <c r="B206" s="87"/>
    </row>
    <row r="207" spans="1:5" x14ac:dyDescent="0.25">
      <c r="B207" s="60" t="s">
        <v>118</v>
      </c>
      <c r="C207" s="60"/>
      <c r="D207" s="60"/>
      <c r="E207" s="60"/>
    </row>
    <row r="208" spans="1:5" x14ac:dyDescent="0.25">
      <c r="B208" s="60" t="s">
        <v>119</v>
      </c>
      <c r="C208" s="60"/>
      <c r="D208" s="60"/>
      <c r="E208" s="60"/>
    </row>
    <row r="209" spans="1:5" x14ac:dyDescent="0.25">
      <c r="B209" s="13" t="str">
        <f>("Un detalle de las "&amp;B208&amp;" al "&amp;[1]BALANZA!$B$3&amp;""&amp;[1]BALANZA!$C$3&amp;" es como se detalla a continuación:")</f>
        <v>Un detalle de las Inventario al 30 de abril del 2025- 2024 es como se detalla a continuación:</v>
      </c>
      <c r="C209" s="30"/>
      <c r="D209" s="30"/>
      <c r="E209" s="30"/>
    </row>
    <row r="210" spans="1:5" ht="35.25" customHeight="1" x14ac:dyDescent="0.25">
      <c r="B210" s="19" t="str">
        <f>("Los  inventarios están representados por las partidas de materiales en existencia, Para el "&amp;[1]BALANZA!B4&amp;" RD$ "&amp;R215&amp;" y para el "&amp;[1]BALANZA!C4&amp;" RD$ "&amp;R216&amp;", Según el siguiente detalle:")</f>
        <v>Los  inventarios están representados por las partidas de materiales en existencia, Para el 2025 RD$  y para el 2024 RD$ , Según el siguiente detalle:</v>
      </c>
      <c r="C210" s="19"/>
      <c r="D210" s="19"/>
      <c r="E210" s="19"/>
    </row>
    <row r="211" spans="1:5" x14ac:dyDescent="0.25">
      <c r="B211" s="87"/>
    </row>
    <row r="212" spans="1:5" x14ac:dyDescent="0.25">
      <c r="B212" s="31" t="s">
        <v>96</v>
      </c>
      <c r="C212" s="31">
        <f>+C415</f>
        <v>2025</v>
      </c>
      <c r="D212" s="31">
        <f>+D415</f>
        <v>2024</v>
      </c>
      <c r="E212" s="31" t="s">
        <v>97</v>
      </c>
    </row>
    <row r="213" spans="1:5" x14ac:dyDescent="0.25">
      <c r="B213" s="39" t="s">
        <v>109</v>
      </c>
      <c r="C213" s="80">
        <f>+'[1]BALANZA G'!C40</f>
        <v>0</v>
      </c>
      <c r="D213" s="37">
        <f>+'[1]BALANZA G'!D40</f>
        <v>0</v>
      </c>
      <c r="E213" s="89">
        <f>+C213-D213</f>
        <v>0</v>
      </c>
    </row>
    <row r="214" spans="1:5" ht="30" x14ac:dyDescent="0.25">
      <c r="B214" s="39" t="s">
        <v>120</v>
      </c>
      <c r="C214" s="80">
        <f>+'[1]BALANZA G'!C41</f>
        <v>17118495.120000001</v>
      </c>
      <c r="D214" s="90">
        <f>+'[1]BALANZA G'!D41</f>
        <v>18382280.280000001</v>
      </c>
      <c r="E214" s="91">
        <f>+C214-D214</f>
        <v>-1263785.1600000001</v>
      </c>
    </row>
    <row r="215" spans="1:5" x14ac:dyDescent="0.25">
      <c r="B215" s="81" t="s">
        <v>121</v>
      </c>
      <c r="C215" s="45">
        <f>SUM(C213:C214)</f>
        <v>17118495.120000001</v>
      </c>
      <c r="D215" s="92">
        <f>SUM(D213:D214)</f>
        <v>18382280.280000001</v>
      </c>
      <c r="E215" s="45">
        <f>SUM(E213:E214)</f>
        <v>-1263785.1600000001</v>
      </c>
    </row>
    <row r="216" spans="1:5" x14ac:dyDescent="0.25">
      <c r="B216" s="82"/>
      <c r="C216" s="93">
        <f>+C215-'[1]ES F '!B15</f>
        <v>0</v>
      </c>
      <c r="D216" s="84"/>
      <c r="E216" s="85"/>
    </row>
    <row r="217" spans="1:5" x14ac:dyDescent="0.25">
      <c r="A217" s="43"/>
      <c r="B217" s="51" t="str">
        <f>("Cambio porcentual con relación al "&amp;$D$144&amp;".")</f>
        <v>Cambio porcentual con relación al 2024.</v>
      </c>
      <c r="C217" s="52"/>
      <c r="D217" s="53" t="str">
        <f>IF(E217&gt;=0,"Aumento","Disminución")</f>
        <v>Disminución</v>
      </c>
      <c r="E217" s="86">
        <f>IFERROR((+E215/D215),0)</f>
        <v>-6.8750184457529118E-2</v>
      </c>
    </row>
    <row r="218" spans="1:5" x14ac:dyDescent="0.25">
      <c r="A218" s="43"/>
      <c r="B218" s="55"/>
      <c r="C218" s="55"/>
      <c r="D218" s="56"/>
      <c r="E218" s="59"/>
    </row>
    <row r="219" spans="1:5" x14ac:dyDescent="0.25">
      <c r="A219" s="43"/>
      <c r="B219" s="55"/>
      <c r="C219" s="55"/>
      <c r="D219" s="56"/>
      <c r="E219" s="59"/>
    </row>
    <row r="220" spans="1:5" x14ac:dyDescent="0.25">
      <c r="A220" s="43"/>
      <c r="B220" s="55"/>
      <c r="C220" s="55"/>
      <c r="D220" s="56"/>
      <c r="E220" s="59"/>
    </row>
    <row r="221" spans="1:5" x14ac:dyDescent="0.25">
      <c r="A221" s="43"/>
      <c r="B221" s="55"/>
      <c r="C221" s="55"/>
      <c r="D221" s="56"/>
      <c r="E221" s="59"/>
    </row>
    <row r="222" spans="1:5" x14ac:dyDescent="0.25">
      <c r="A222" s="43"/>
      <c r="B222" s="55"/>
      <c r="C222" s="55"/>
      <c r="D222" s="56"/>
      <c r="E222" s="59"/>
    </row>
    <row r="223" spans="1:5" x14ac:dyDescent="0.25">
      <c r="A223" s="43"/>
      <c r="B223" s="55"/>
      <c r="C223" s="55"/>
      <c r="D223" s="56"/>
      <c r="E223" s="59"/>
    </row>
    <row r="224" spans="1:5" x14ac:dyDescent="0.25">
      <c r="A224" s="43"/>
      <c r="B224" s="55"/>
      <c r="C224" s="55"/>
      <c r="D224" s="56"/>
      <c r="E224" s="59"/>
    </row>
    <row r="225" spans="2:5" x14ac:dyDescent="0.25">
      <c r="B225" s="19"/>
      <c r="C225" s="19"/>
      <c r="D225" s="19"/>
      <c r="E225" s="19"/>
    </row>
    <row r="226" spans="2:5" x14ac:dyDescent="0.25">
      <c r="B226" s="14"/>
      <c r="C226" s="14"/>
      <c r="D226" s="14"/>
      <c r="E226" s="14"/>
    </row>
    <row r="227" spans="2:5" x14ac:dyDescent="0.25">
      <c r="B227" s="14"/>
      <c r="C227" s="14"/>
      <c r="D227" s="14"/>
      <c r="E227" s="14"/>
    </row>
    <row r="228" spans="2:5" x14ac:dyDescent="0.25">
      <c r="B228" s="14"/>
      <c r="C228" s="14"/>
      <c r="D228" s="14"/>
      <c r="E228" s="14"/>
    </row>
    <row r="229" spans="2:5" x14ac:dyDescent="0.25">
      <c r="B229" s="61" t="s">
        <v>122</v>
      </c>
      <c r="C229" s="14"/>
      <c r="D229" s="94"/>
      <c r="E229" s="14"/>
    </row>
    <row r="230" spans="2:5" x14ac:dyDescent="0.25">
      <c r="B230" s="61" t="s">
        <v>123</v>
      </c>
      <c r="C230" s="14"/>
      <c r="D230" s="94"/>
      <c r="E230" s="14"/>
    </row>
    <row r="231" spans="2:5" x14ac:dyDescent="0.25">
      <c r="B231" s="13" t="str">
        <f>("Un detalle del "&amp;B230&amp;" al "&amp;[1]BALANZA!$B$3&amp;" "&amp;[1]BALANZA!$C$3&amp;" es como se detalla a continuación:")</f>
        <v>Un detalle del Pagos anticipados al 30 de abril del 2025 - 2024 es como se detalla a continuación:</v>
      </c>
      <c r="C231" s="30"/>
      <c r="D231" s="30"/>
      <c r="E231" s="30"/>
    </row>
    <row r="232" spans="2:5" x14ac:dyDescent="0.25">
      <c r="B232" s="19" t="str">
        <f>("Los  pagos anticipados están representados por las partidas de seguros pagados por adelantado, Para el "&amp;[1]BALANZA!B4&amp;" el monto ascendio  a RD$ "&amp;R240&amp;" y para el "&amp;[1]BALANZA!C4&amp;" el monto era RD$ "&amp;R241&amp;", Según el siguiente detalle:")</f>
        <v>Los  pagos anticipados están representados por las partidas de seguros pagados por adelantado, Para el 2025 el monto ascendio  a RD$  y para el 2024 el monto era RD$ , Según el siguiente detalle:</v>
      </c>
      <c r="C232" s="19"/>
      <c r="D232" s="19"/>
      <c r="E232" s="19"/>
    </row>
    <row r="233" spans="2:5" x14ac:dyDescent="0.25">
      <c r="B233" s="87"/>
    </row>
    <row r="234" spans="2:5" x14ac:dyDescent="0.25">
      <c r="B234" s="31" t="s">
        <v>96</v>
      </c>
      <c r="C234" s="34">
        <f>+C212</f>
        <v>2025</v>
      </c>
      <c r="D234" s="34">
        <f>+D212</f>
        <v>2024</v>
      </c>
      <c r="E234" s="31" t="s">
        <v>97</v>
      </c>
    </row>
    <row r="235" spans="2:5" x14ac:dyDescent="0.25">
      <c r="B235" s="39" t="s">
        <v>124</v>
      </c>
      <c r="C235" s="80">
        <f>+D239</f>
        <v>422306.74</v>
      </c>
      <c r="D235" s="37">
        <f>+D239-D237-D236</f>
        <v>841536.45</v>
      </c>
      <c r="E235" s="79">
        <f>+C235-D235</f>
        <v>-419229.70999999996</v>
      </c>
    </row>
    <row r="236" spans="2:5" x14ac:dyDescent="0.25">
      <c r="B236" s="39" t="s">
        <v>125</v>
      </c>
      <c r="C236" s="95">
        <f>+C239-C235-C237</f>
        <v>0</v>
      </c>
      <c r="D236" s="37">
        <f>205890.43+32007.08</f>
        <v>237897.51</v>
      </c>
      <c r="E236" s="79">
        <f>+C236-D236</f>
        <v>-237897.51</v>
      </c>
    </row>
    <row r="237" spans="2:5" x14ac:dyDescent="0.25">
      <c r="B237" s="39" t="s">
        <v>126</v>
      </c>
      <c r="C237" s="96">
        <f>-'[1]Notas NF'!C617</f>
        <v>-187691.92</v>
      </c>
      <c r="D237" s="96">
        <f>-'[1]Notas NF'!D617</f>
        <v>-657127.22</v>
      </c>
      <c r="E237" s="79">
        <f>+C237-D237</f>
        <v>469435.29999999993</v>
      </c>
    </row>
    <row r="238" spans="2:5" x14ac:dyDescent="0.25">
      <c r="B238" s="39"/>
      <c r="C238" s="80"/>
      <c r="D238" s="80"/>
      <c r="E238" s="79"/>
    </row>
    <row r="239" spans="2:5" x14ac:dyDescent="0.25">
      <c r="B239" s="39" t="s">
        <v>127</v>
      </c>
      <c r="C239" s="80">
        <f>+'[1]BALANZA G'!C48</f>
        <v>234614.82</v>
      </c>
      <c r="D239" s="90">
        <f>+'[1]BALANZA G'!D48</f>
        <v>422306.74</v>
      </c>
      <c r="E239" s="79">
        <f>+C239-D239</f>
        <v>-187691.91999999998</v>
      </c>
    </row>
    <row r="240" spans="2:5" x14ac:dyDescent="0.25">
      <c r="B240" s="81" t="s">
        <v>128</v>
      </c>
      <c r="C240" s="45">
        <f>SUM(C239:C239)</f>
        <v>234614.82</v>
      </c>
      <c r="D240" s="45">
        <f>SUM(D239:D239)</f>
        <v>422306.74</v>
      </c>
      <c r="E240" s="97">
        <f>+C240-D240</f>
        <v>-187691.91999999998</v>
      </c>
    </row>
    <row r="241" spans="1:5" x14ac:dyDescent="0.25">
      <c r="B241" s="98"/>
      <c r="C241" s="99">
        <f>+C240-'[1]ES F '!B16</f>
        <v>0</v>
      </c>
      <c r="D241" s="100"/>
      <c r="E241" s="101"/>
    </row>
    <row r="242" spans="1:5" x14ac:dyDescent="0.25">
      <c r="A242" s="43"/>
      <c r="B242" s="51" t="str">
        <f>("Cambio porcentual con relación al "&amp;$D$144&amp;".")</f>
        <v>Cambio porcentual con relación al 2024.</v>
      </c>
      <c r="C242" s="52"/>
      <c r="D242" s="53" t="str">
        <f>IF(E242&gt;=0,"Aumento","Disminución")</f>
        <v>Disminución</v>
      </c>
      <c r="E242" s="86">
        <f>IFERROR((+E240/D240),0)</f>
        <v>-0.4444445286381174</v>
      </c>
    </row>
    <row r="243" spans="1:5" x14ac:dyDescent="0.25">
      <c r="B243" s="61"/>
      <c r="C243" s="14"/>
      <c r="D243" s="94"/>
      <c r="E243" s="14"/>
    </row>
    <row r="244" spans="1:5" x14ac:dyDescent="0.25">
      <c r="B244" s="61"/>
      <c r="C244" s="102"/>
      <c r="D244" s="94"/>
      <c r="E244" s="14"/>
    </row>
    <row r="245" spans="1:5" x14ac:dyDescent="0.25">
      <c r="B245" s="61" t="s">
        <v>129</v>
      </c>
      <c r="C245" s="102"/>
      <c r="D245" s="94"/>
      <c r="E245" s="14"/>
    </row>
    <row r="246" spans="1:5" x14ac:dyDescent="0.25">
      <c r="B246" s="61" t="s">
        <v>130</v>
      </c>
    </row>
    <row r="247" spans="1:5" x14ac:dyDescent="0.25">
      <c r="B247" s="13" t="str">
        <f>("Un detalle de "&amp;B246&amp;" al "&amp;[1]BALANZA!$B$3&amp;" "&amp;[1]BALANZA!$C$3&amp;" es como se detalla a continuación:")</f>
        <v>Un detalle de Otros activos corrientes al 30 de abril del 2025 - 2024 es como se detalla a continuación:</v>
      </c>
      <c r="C247" s="30"/>
      <c r="D247" s="30"/>
      <c r="E247" s="30"/>
    </row>
    <row r="248" spans="1:5" ht="45" customHeight="1" x14ac:dyDescent="0.25">
      <c r="B248" s="19" t="str">
        <f>("Los depósitos o fianzas por los alquileres de locales de CORAAMOCA, vigentes, están registrado en el Estado de Balance General, dentro  de la partida de otros activos, en  periodos "&amp;[1]BALANZA!B4&amp;" el valor estaba en RD$ "&amp;R266&amp;".  Según detalles:")</f>
        <v>Los depósitos o fianzas por los alquileres de locales de CORAAMOCA, vigentes, están registrado en el Estado de Balance General, dentro  de la partida de otros activos, en  periodos 2025 el valor estaba en RD$ .  Según detalles:</v>
      </c>
      <c r="C248" s="19"/>
      <c r="D248" s="19"/>
      <c r="E248" s="19"/>
    </row>
    <row r="249" spans="1:5" x14ac:dyDescent="0.25">
      <c r="B249" s="19"/>
      <c r="C249" s="19"/>
      <c r="D249" s="19"/>
      <c r="E249" s="19"/>
    </row>
    <row r="250" spans="1:5" x14ac:dyDescent="0.25">
      <c r="B250" s="103"/>
    </row>
    <row r="251" spans="1:5" x14ac:dyDescent="0.25">
      <c r="A251" s="104"/>
      <c r="B251" s="31" t="s">
        <v>131</v>
      </c>
      <c r="C251" s="31" t="s">
        <v>132</v>
      </c>
      <c r="D251" s="105" t="s">
        <v>133</v>
      </c>
      <c r="E251" s="32" t="s">
        <v>134</v>
      </c>
    </row>
    <row r="252" spans="1:5" x14ac:dyDescent="0.25">
      <c r="B252" s="106" t="s">
        <v>135</v>
      </c>
      <c r="C252" s="107" t="s">
        <v>136</v>
      </c>
      <c r="D252" s="108">
        <v>12000</v>
      </c>
      <c r="E252" s="109">
        <f>+D252</f>
        <v>12000</v>
      </c>
    </row>
    <row r="253" spans="1:5" x14ac:dyDescent="0.25">
      <c r="B253" s="106" t="s">
        <v>137</v>
      </c>
      <c r="C253" s="107" t="s">
        <v>138</v>
      </c>
      <c r="D253" s="108">
        <v>21000</v>
      </c>
      <c r="E253" s="109">
        <f t="shared" ref="E253:E260" si="1">+D253</f>
        <v>21000</v>
      </c>
    </row>
    <row r="254" spans="1:5" x14ac:dyDescent="0.25">
      <c r="B254" s="106" t="s">
        <v>139</v>
      </c>
      <c r="C254" s="107" t="s">
        <v>140</v>
      </c>
      <c r="D254" s="108">
        <v>28500</v>
      </c>
      <c r="E254" s="109">
        <f t="shared" si="1"/>
        <v>28500</v>
      </c>
    </row>
    <row r="255" spans="1:5" x14ac:dyDescent="0.25">
      <c r="B255" s="106" t="s">
        <v>141</v>
      </c>
      <c r="C255" s="107" t="s">
        <v>142</v>
      </c>
      <c r="D255" s="108">
        <v>33336</v>
      </c>
      <c r="E255" s="109">
        <f t="shared" si="1"/>
        <v>33336</v>
      </c>
    </row>
    <row r="256" spans="1:5" x14ac:dyDescent="0.25">
      <c r="B256" s="110" t="s">
        <v>143</v>
      </c>
      <c r="C256" s="111" t="s">
        <v>144</v>
      </c>
      <c r="D256" s="112">
        <v>20000</v>
      </c>
      <c r="E256" s="109">
        <f t="shared" si="1"/>
        <v>20000</v>
      </c>
    </row>
    <row r="257" spans="1:5" x14ac:dyDescent="0.25">
      <c r="B257" s="110" t="s">
        <v>145</v>
      </c>
      <c r="C257" s="111" t="s">
        <v>146</v>
      </c>
      <c r="D257" s="112">
        <v>18000</v>
      </c>
      <c r="E257" s="109">
        <f t="shared" si="1"/>
        <v>18000</v>
      </c>
    </row>
    <row r="258" spans="1:5" x14ac:dyDescent="0.25">
      <c r="B258" s="110" t="s">
        <v>147</v>
      </c>
      <c r="C258" s="111" t="s">
        <v>148</v>
      </c>
      <c r="D258" s="112">
        <v>33336</v>
      </c>
      <c r="E258" s="109">
        <f t="shared" si="1"/>
        <v>33336</v>
      </c>
    </row>
    <row r="259" spans="1:5" x14ac:dyDescent="0.25">
      <c r="B259" s="110" t="s">
        <v>149</v>
      </c>
      <c r="C259" s="111" t="s">
        <v>150</v>
      </c>
      <c r="D259" s="112">
        <v>27000</v>
      </c>
      <c r="E259" s="109">
        <v>27000</v>
      </c>
    </row>
    <row r="260" spans="1:5" x14ac:dyDescent="0.25">
      <c r="B260" s="110"/>
      <c r="C260" s="111"/>
      <c r="D260" s="112"/>
      <c r="E260" s="109">
        <f t="shared" si="1"/>
        <v>0</v>
      </c>
    </row>
    <row r="261" spans="1:5" x14ac:dyDescent="0.25">
      <c r="B261" s="113" t="s">
        <v>151</v>
      </c>
      <c r="C261" s="113"/>
      <c r="D261" s="114"/>
      <c r="E261" s="115">
        <f>SUM(E252:E260)</f>
        <v>193172</v>
      </c>
    </row>
    <row r="262" spans="1:5" x14ac:dyDescent="0.25">
      <c r="B262" s="116"/>
      <c r="C262" s="116"/>
      <c r="D262" s="117"/>
      <c r="E262" s="83">
        <f>+E261-'[1]ES F '!B17</f>
        <v>193172</v>
      </c>
    </row>
    <row r="263" spans="1:5" x14ac:dyDescent="0.25">
      <c r="B263" s="31" t="s">
        <v>96</v>
      </c>
      <c r="C263" s="31">
        <f>+C198</f>
        <v>2025</v>
      </c>
      <c r="D263" s="31">
        <f>+D198</f>
        <v>2024</v>
      </c>
      <c r="E263" s="31" t="s">
        <v>97</v>
      </c>
    </row>
    <row r="264" spans="1:5" x14ac:dyDescent="0.25">
      <c r="B264" s="39" t="s">
        <v>109</v>
      </c>
      <c r="C264" s="80">
        <v>0</v>
      </c>
      <c r="D264" s="37">
        <v>0</v>
      </c>
      <c r="E264" s="89">
        <f>+C264-D264</f>
        <v>0</v>
      </c>
    </row>
    <row r="265" spans="1:5" x14ac:dyDescent="0.25">
      <c r="B265" s="39" t="s">
        <v>152</v>
      </c>
      <c r="C265" s="90">
        <f>+'[1]BALANZA G'!C46</f>
        <v>0</v>
      </c>
      <c r="D265" s="90">
        <f>+E261+10500-18000+13500-6000</f>
        <v>193172</v>
      </c>
      <c r="E265" s="7">
        <f>+C265-D265</f>
        <v>-193172</v>
      </c>
    </row>
    <row r="266" spans="1:5" x14ac:dyDescent="0.25">
      <c r="A266" s="118"/>
      <c r="B266" s="69" t="s">
        <v>153</v>
      </c>
      <c r="C266" s="70">
        <f>SUM(C264:C265)</f>
        <v>0</v>
      </c>
      <c r="D266" s="70">
        <f>SUM(D264:D265)</f>
        <v>193172</v>
      </c>
      <c r="E266" s="70">
        <f>SUM(E264:E265)</f>
        <v>-193172</v>
      </c>
    </row>
    <row r="267" spans="1:5" x14ac:dyDescent="0.25">
      <c r="A267" s="118"/>
      <c r="B267" s="119"/>
      <c r="C267" s="120">
        <f>+C266-'[1]ES F '!B17</f>
        <v>0</v>
      </c>
      <c r="D267" s="121">
        <f>+D266-'[1]ES F '!C17</f>
        <v>0</v>
      </c>
      <c r="E267" s="120"/>
    </row>
    <row r="268" spans="1:5" x14ac:dyDescent="0.25">
      <c r="A268" s="122"/>
      <c r="B268" s="51" t="str">
        <f>("Cambio porcentual con relación al "&amp;$D$144&amp;".")</f>
        <v>Cambio porcentual con relación al 2024.</v>
      </c>
      <c r="C268" s="52"/>
      <c r="D268" s="123" t="str">
        <f>IF(E268&gt;=0,"Aumento","Disminución")</f>
        <v>Disminución</v>
      </c>
      <c r="E268" s="124">
        <f>IFERROR((+E266/D266),0)</f>
        <v>-1</v>
      </c>
    </row>
    <row r="269" spans="1:5" x14ac:dyDescent="0.25">
      <c r="A269" s="122"/>
      <c r="B269" s="125"/>
      <c r="C269" s="125"/>
      <c r="D269" s="126"/>
      <c r="E269" s="127"/>
    </row>
    <row r="270" spans="1:5" x14ac:dyDescent="0.25">
      <c r="B270" s="10"/>
    </row>
    <row r="271" spans="1:5" x14ac:dyDescent="0.25">
      <c r="B271" s="10"/>
    </row>
    <row r="272" spans="1:5" x14ac:dyDescent="0.25">
      <c r="B272" s="10"/>
    </row>
    <row r="273" spans="2:5" x14ac:dyDescent="0.25">
      <c r="B273" s="10"/>
    </row>
    <row r="274" spans="2:5" x14ac:dyDescent="0.25">
      <c r="B274" s="10"/>
    </row>
    <row r="275" spans="2:5" x14ac:dyDescent="0.25">
      <c r="B275" s="10"/>
    </row>
    <row r="276" spans="2:5" x14ac:dyDescent="0.25">
      <c r="B276" s="10"/>
    </row>
    <row r="277" spans="2:5" hidden="1" x14ac:dyDescent="0.25">
      <c r="B277" s="10" t="s">
        <v>129</v>
      </c>
    </row>
    <row r="278" spans="2:5" hidden="1" x14ac:dyDescent="0.25">
      <c r="B278" s="11" t="s">
        <v>154</v>
      </c>
      <c r="C278" s="11"/>
      <c r="D278" s="11"/>
      <c r="E278" s="11"/>
    </row>
    <row r="279" spans="2:5" hidden="1" x14ac:dyDescent="0.25">
      <c r="B279" s="13" t="str">
        <f>("Un detalle de "&amp;B278&amp;" al "&amp;[1]BALANZA!$B$3&amp;" "&amp;[1]BALANZA!$C$3&amp;" es como se detalla a continuación:")</f>
        <v>Un detalle de Propiedad planta y equipo al 30 de abril del 2025 - 2024 es como se detalla a continuación:</v>
      </c>
      <c r="C279" s="30"/>
      <c r="D279" s="30"/>
      <c r="E279" s="30"/>
    </row>
    <row r="280" spans="2:5" hidden="1" x14ac:dyDescent="0.25">
      <c r="B280" s="19" t="s">
        <v>155</v>
      </c>
      <c r="C280" s="19"/>
      <c r="D280" s="19"/>
      <c r="E280" s="19"/>
    </row>
    <row r="281" spans="2:5" hidden="1" x14ac:dyDescent="0.25">
      <c r="B281" s="28" t="s">
        <v>156</v>
      </c>
      <c r="C281" s="28"/>
      <c r="D281" s="28"/>
      <c r="E281" s="28"/>
    </row>
    <row r="282" spans="2:5" hidden="1" x14ac:dyDescent="0.25">
      <c r="B282" s="12" t="str">
        <f>+B278</f>
        <v>Propiedad planta y equipo</v>
      </c>
      <c r="C282" s="9" t="s">
        <v>157</v>
      </c>
      <c r="D282" s="128"/>
    </row>
    <row r="283" spans="2:5" hidden="1" x14ac:dyDescent="0.25">
      <c r="B283" s="129" t="s">
        <v>158</v>
      </c>
      <c r="C283" s="129">
        <f>+[1]BALANZA!B4</f>
        <v>2025</v>
      </c>
      <c r="D283" s="130">
        <f>+[1]BALANZA!C4</f>
        <v>2024</v>
      </c>
      <c r="E283" s="131" t="s">
        <v>97</v>
      </c>
    </row>
    <row r="284" spans="2:5" hidden="1" x14ac:dyDescent="0.25">
      <c r="B284" s="132" t="s">
        <v>159</v>
      </c>
      <c r="C284" s="133"/>
      <c r="D284" s="134"/>
      <c r="E284" s="135"/>
    </row>
    <row r="285" spans="2:5" hidden="1" x14ac:dyDescent="0.25">
      <c r="B285" s="110" t="s">
        <v>160</v>
      </c>
      <c r="C285" s="133"/>
      <c r="D285" s="134"/>
      <c r="E285" s="135"/>
    </row>
    <row r="286" spans="2:5" hidden="1" x14ac:dyDescent="0.25">
      <c r="B286" s="61" t="s">
        <v>161</v>
      </c>
      <c r="C286" s="80">
        <f>+D286+D287</f>
        <v>28416592.940000001</v>
      </c>
      <c r="D286" s="136">
        <f>+'[1]BALANZA G'!D74+'[1]BALANZA G'!D59-D287</f>
        <v>25239892.940000001</v>
      </c>
      <c r="E286" s="79">
        <f>+C286-D286</f>
        <v>3176700</v>
      </c>
    </row>
    <row r="287" spans="2:5" hidden="1" x14ac:dyDescent="0.25">
      <c r="B287" s="110" t="s">
        <v>162</v>
      </c>
      <c r="C287" s="80">
        <f>+'[1]BALANZA G'!C74-'[1]BALANZA G'!D74+'[1]BALANZA G'!C59+'[1]BALANZA G'!C77-E286</f>
        <v>6435539.2000000011</v>
      </c>
      <c r="D287" s="137">
        <v>3176700</v>
      </c>
      <c r="E287" s="79">
        <f>+C287-D287</f>
        <v>3258839.2000000011</v>
      </c>
    </row>
    <row r="288" spans="2:5" hidden="1" x14ac:dyDescent="0.25">
      <c r="B288" s="110" t="s">
        <v>163</v>
      </c>
      <c r="C288" s="80"/>
      <c r="D288" s="136"/>
      <c r="E288" s="79">
        <f>+C288-D288</f>
        <v>0</v>
      </c>
    </row>
    <row r="289" spans="2:5" hidden="1" x14ac:dyDescent="0.25">
      <c r="B289" s="110" t="s">
        <v>164</v>
      </c>
      <c r="C289" s="80">
        <f>-[1]nota12!F28</f>
        <v>-26935891.919999998</v>
      </c>
      <c r="D289" s="136"/>
      <c r="E289" s="79"/>
    </row>
    <row r="290" spans="2:5" hidden="1" x14ac:dyDescent="0.25">
      <c r="B290" s="110" t="s">
        <v>165</v>
      </c>
      <c r="C290" s="80">
        <f>-[1]nota12!F29</f>
        <v>-1.1059455573558807E-9</v>
      </c>
      <c r="D290" s="136"/>
      <c r="E290" s="79"/>
    </row>
    <row r="291" spans="2:5" hidden="1" x14ac:dyDescent="0.25">
      <c r="B291" s="138" t="s">
        <v>166</v>
      </c>
      <c r="C291" s="139">
        <f>SUM(C286:C290)</f>
        <v>7916240.2200000016</v>
      </c>
      <c r="D291" s="140">
        <f>SUM(D284:D288)</f>
        <v>28416592.940000001</v>
      </c>
      <c r="E291" s="139">
        <f>SUM(E284:E288)</f>
        <v>6435539.2000000011</v>
      </c>
    </row>
    <row r="292" spans="2:5" ht="28.5" hidden="1" x14ac:dyDescent="0.25">
      <c r="B292" s="138" t="s">
        <v>167</v>
      </c>
      <c r="C292" s="141">
        <v>0</v>
      </c>
      <c r="D292" s="142">
        <v>0</v>
      </c>
      <c r="E292" s="143">
        <f>+C292-D292</f>
        <v>0</v>
      </c>
    </row>
    <row r="293" spans="2:5" ht="28.5" hidden="1" x14ac:dyDescent="0.25">
      <c r="B293" s="138" t="s">
        <v>168</v>
      </c>
      <c r="C293" s="139">
        <f>+C291-C292</f>
        <v>7916240.2200000016</v>
      </c>
      <c r="D293" s="140">
        <f>+D291-D292</f>
        <v>28416592.940000001</v>
      </c>
      <c r="E293" s="139">
        <f>+E291-E292</f>
        <v>6435539.2000000011</v>
      </c>
    </row>
    <row r="294" spans="2:5" ht="28.5" hidden="1" x14ac:dyDescent="0.25">
      <c r="B294" s="132" t="s">
        <v>169</v>
      </c>
      <c r="C294" s="144"/>
      <c r="D294" s="145"/>
      <c r="E294" s="146"/>
    </row>
    <row r="295" spans="2:5" hidden="1" x14ac:dyDescent="0.25">
      <c r="B295" s="110" t="str">
        <f>+B286</f>
        <v xml:space="preserve">Costos de adquisición  </v>
      </c>
      <c r="C295" s="80">
        <f>+'[1]BALANZA G'!C64</f>
        <v>52883325.560000002</v>
      </c>
      <c r="D295" s="136">
        <f>+'[1]BALANZA G'!D64</f>
        <v>52883325.560000002</v>
      </c>
      <c r="E295" s="79">
        <f>+C295-D295</f>
        <v>0</v>
      </c>
    </row>
    <row r="296" spans="2:5" hidden="1" x14ac:dyDescent="0.25">
      <c r="B296" s="110" t="str">
        <f>+B287</f>
        <v>Adiciones</v>
      </c>
      <c r="C296" s="80"/>
      <c r="D296" s="136">
        <f>+'[1]BALANZA G'!F64</f>
        <v>45922302.979999997</v>
      </c>
      <c r="E296" s="79">
        <f>+C296-D296</f>
        <v>-45922302.979999997</v>
      </c>
    </row>
    <row r="297" spans="2:5" hidden="1" x14ac:dyDescent="0.25">
      <c r="B297" s="110" t="str">
        <f>+B288</f>
        <v>Retiros</v>
      </c>
      <c r="C297" s="80"/>
      <c r="D297" s="136"/>
      <c r="E297" s="79">
        <f>+C297-D297</f>
        <v>0</v>
      </c>
    </row>
    <row r="298" spans="2:5" hidden="1" x14ac:dyDescent="0.25">
      <c r="B298" s="110" t="str">
        <f>+B289</f>
        <v>Depreciación Acumulada</v>
      </c>
      <c r="C298" s="80">
        <f>-[1]nota12!I28</f>
        <v>-38206151.979999997</v>
      </c>
      <c r="D298" s="136"/>
      <c r="E298" s="79"/>
    </row>
    <row r="299" spans="2:5" hidden="1" x14ac:dyDescent="0.25">
      <c r="B299" s="110" t="str">
        <f>+B290</f>
        <v>Depreciación del periodo</v>
      </c>
      <c r="C299" s="80">
        <f>-[1]nota12!I29</f>
        <v>0</v>
      </c>
      <c r="D299" s="136"/>
      <c r="E299" s="79"/>
    </row>
    <row r="300" spans="2:5" ht="28.5" hidden="1" x14ac:dyDescent="0.25">
      <c r="B300" s="147" t="s">
        <v>170</v>
      </c>
      <c r="C300" s="139">
        <f>SUM(C295:C299)</f>
        <v>14677173.580000006</v>
      </c>
      <c r="D300" s="140">
        <f>SUM(D295:D297)</f>
        <v>98805628.539999992</v>
      </c>
      <c r="E300" s="139">
        <f>SUM(E295:E297)</f>
        <v>-45922302.979999997</v>
      </c>
    </row>
    <row r="301" spans="2:5" ht="28.5" hidden="1" x14ac:dyDescent="0.25">
      <c r="B301" s="138" t="s">
        <v>171</v>
      </c>
      <c r="C301" s="141">
        <v>0</v>
      </c>
      <c r="D301" s="142">
        <v>0</v>
      </c>
      <c r="E301" s="143">
        <f>+C301-D301</f>
        <v>0</v>
      </c>
    </row>
    <row r="302" spans="2:5" ht="42.75" hidden="1" x14ac:dyDescent="0.25">
      <c r="B302" s="138" t="s">
        <v>172</v>
      </c>
      <c r="C302" s="139">
        <f>+C300-C301</f>
        <v>14677173.580000006</v>
      </c>
      <c r="D302" s="140">
        <f>+D300-D301</f>
        <v>98805628.539999992</v>
      </c>
      <c r="E302" s="139">
        <f>+E300-E301</f>
        <v>-45922302.979999997</v>
      </c>
    </row>
    <row r="303" spans="2:5" ht="28.5" hidden="1" x14ac:dyDescent="0.25">
      <c r="B303" s="148" t="s">
        <v>173</v>
      </c>
      <c r="C303" s="144"/>
      <c r="D303" s="145"/>
      <c r="E303" s="146"/>
    </row>
    <row r="304" spans="2:5" hidden="1" x14ac:dyDescent="0.25">
      <c r="B304" s="110" t="str">
        <f>+B295</f>
        <v xml:space="preserve">Costos de adquisición  </v>
      </c>
      <c r="C304" s="80">
        <f>+'[1]BALANZA G'!C68</f>
        <v>510150</v>
      </c>
      <c r="D304" s="136">
        <f>+'[1]BALANZA G'!D68-D305</f>
        <v>503947</v>
      </c>
      <c r="E304" s="79">
        <f>+C304-D304</f>
        <v>6203</v>
      </c>
    </row>
    <row r="305" spans="2:5" hidden="1" x14ac:dyDescent="0.25">
      <c r="B305" s="110" t="str">
        <f>+B296</f>
        <v>Adiciones</v>
      </c>
      <c r="C305" s="80"/>
      <c r="D305" s="136">
        <f>+'[1]BALANZA G'!F68</f>
        <v>74900</v>
      </c>
      <c r="E305" s="79">
        <f>+C305-D305</f>
        <v>-74900</v>
      </c>
    </row>
    <row r="306" spans="2:5" hidden="1" x14ac:dyDescent="0.25">
      <c r="B306" s="110" t="str">
        <f>+B297</f>
        <v>Retiros</v>
      </c>
      <c r="C306" s="80"/>
      <c r="D306" s="136"/>
      <c r="E306" s="79">
        <f>+C306-D306</f>
        <v>0</v>
      </c>
    </row>
    <row r="307" spans="2:5" hidden="1" x14ac:dyDescent="0.25">
      <c r="B307" s="110" t="str">
        <f>+B298</f>
        <v>Depreciación Acumulada</v>
      </c>
      <c r="C307" s="80"/>
      <c r="D307" s="136"/>
      <c r="E307" s="79"/>
    </row>
    <row r="308" spans="2:5" hidden="1" x14ac:dyDescent="0.25">
      <c r="B308" s="110" t="str">
        <f>+B299</f>
        <v>Depreciación del periodo</v>
      </c>
      <c r="C308" s="80">
        <f>-[1]nota12!G29</f>
        <v>0</v>
      </c>
      <c r="D308" s="136"/>
      <c r="E308" s="79"/>
    </row>
    <row r="309" spans="2:5" ht="28.5" hidden="1" x14ac:dyDescent="0.25">
      <c r="B309" s="138" t="s">
        <v>174</v>
      </c>
      <c r="C309" s="139">
        <f>SUM(C304:C308)</f>
        <v>510150</v>
      </c>
      <c r="D309" s="140">
        <f>SUM(D304:D308)</f>
        <v>578847</v>
      </c>
      <c r="E309" s="139">
        <f>SUM(E304)</f>
        <v>6203</v>
      </c>
    </row>
    <row r="310" spans="2:5" ht="28.5" hidden="1" x14ac:dyDescent="0.25">
      <c r="B310" s="138" t="s">
        <v>175</v>
      </c>
      <c r="C310" s="141">
        <v>0</v>
      </c>
      <c r="D310" s="142">
        <v>0</v>
      </c>
      <c r="E310" s="143">
        <f>+C310-D310</f>
        <v>0</v>
      </c>
    </row>
    <row r="311" spans="2:5" ht="28.5" hidden="1" x14ac:dyDescent="0.25">
      <c r="B311" s="138" t="s">
        <v>176</v>
      </c>
      <c r="C311" s="139">
        <f>+C309-C310</f>
        <v>510150</v>
      </c>
      <c r="D311" s="140">
        <f>+D309-D310</f>
        <v>578847</v>
      </c>
      <c r="E311" s="139">
        <f>+E309-E310</f>
        <v>6203</v>
      </c>
    </row>
    <row r="312" spans="2:5" hidden="1" x14ac:dyDescent="0.25">
      <c r="B312" s="132" t="s">
        <v>177</v>
      </c>
      <c r="C312" s="144"/>
      <c r="D312" s="145"/>
      <c r="E312" s="146"/>
    </row>
    <row r="313" spans="2:5" hidden="1" x14ac:dyDescent="0.25">
      <c r="B313" s="110" t="str">
        <f>+B304</f>
        <v xml:space="preserve">Costos de adquisición  </v>
      </c>
      <c r="C313" s="80">
        <f>+'[1]BALANZA G'!C65+'[1]BALANZA G'!C71-C314</f>
        <v>16016968.830000002</v>
      </c>
      <c r="D313" s="136">
        <f>+'[1]BALANZA G'!D65+'[1]BALANZA G'!D71-D314</f>
        <v>10179245.880000003</v>
      </c>
      <c r="E313" s="79">
        <f>+C313-D313</f>
        <v>5837722.9499999993</v>
      </c>
    </row>
    <row r="314" spans="2:5" hidden="1" x14ac:dyDescent="0.25">
      <c r="B314" s="110" t="str">
        <f>+B305</f>
        <v>Adiciones</v>
      </c>
      <c r="C314" s="80">
        <f>+'[1]BALANZA G'!C71-D314+'[1]BALANZA G'!C65-'[1]BALANZA G'!D65</f>
        <v>169600</v>
      </c>
      <c r="D314" s="90">
        <f>+'[1]BALANZA G'!D71</f>
        <v>5837722.9500000002</v>
      </c>
      <c r="E314" s="79">
        <f>+C314-D314</f>
        <v>-5668122.9500000002</v>
      </c>
    </row>
    <row r="315" spans="2:5" hidden="1" x14ac:dyDescent="0.25">
      <c r="B315" s="110" t="str">
        <f>+B306</f>
        <v>Retiros</v>
      </c>
      <c r="C315" s="80"/>
      <c r="D315" s="136"/>
      <c r="E315" s="79">
        <f>+C315-D315</f>
        <v>0</v>
      </c>
    </row>
    <row r="316" spans="2:5" hidden="1" x14ac:dyDescent="0.25">
      <c r="B316" s="110" t="str">
        <f>+B307</f>
        <v>Depreciación Acumulada</v>
      </c>
      <c r="C316" s="80">
        <f>-[1]nota12!H28</f>
        <v>-11856936.66</v>
      </c>
      <c r="D316" s="136"/>
      <c r="E316" s="79"/>
    </row>
    <row r="317" spans="2:5" hidden="1" x14ac:dyDescent="0.25">
      <c r="B317" s="110" t="str">
        <f>+B308</f>
        <v>Depreciación del periodo</v>
      </c>
      <c r="C317" s="80">
        <f>-[1]nota12!H29</f>
        <v>0</v>
      </c>
      <c r="D317" s="136"/>
      <c r="E317" s="79"/>
    </row>
    <row r="318" spans="2:5" ht="28.5" hidden="1" x14ac:dyDescent="0.25">
      <c r="B318" s="138" t="s">
        <v>178</v>
      </c>
      <c r="C318" s="139">
        <f>SUM(C313:C317)</f>
        <v>4329632.1700000018</v>
      </c>
      <c r="D318" s="140">
        <f>SUM(D313:D315)</f>
        <v>16016968.830000002</v>
      </c>
      <c r="E318" s="139">
        <f>SUM(E313:E315)</f>
        <v>169599.99999999907</v>
      </c>
    </row>
    <row r="319" spans="2:5" ht="28.5" hidden="1" x14ac:dyDescent="0.25">
      <c r="B319" s="138" t="s">
        <v>179</v>
      </c>
      <c r="C319" s="141"/>
      <c r="D319" s="142"/>
      <c r="E319" s="143"/>
    </row>
    <row r="320" spans="2:5" ht="28.5" hidden="1" x14ac:dyDescent="0.25">
      <c r="B320" s="138" t="s">
        <v>180</v>
      </c>
      <c r="C320" s="139">
        <f>+C318-C319</f>
        <v>4329632.1700000018</v>
      </c>
      <c r="D320" s="140">
        <f>+D318-D319</f>
        <v>16016968.830000002</v>
      </c>
      <c r="E320" s="139">
        <f>+E318-E319</f>
        <v>169599.99999999907</v>
      </c>
    </row>
    <row r="321" spans="2:5" hidden="1" x14ac:dyDescent="0.25">
      <c r="B321" s="132" t="s">
        <v>181</v>
      </c>
      <c r="C321" s="149"/>
      <c r="D321" s="136"/>
      <c r="E321" s="79">
        <f>+C321-D321</f>
        <v>0</v>
      </c>
    </row>
    <row r="322" spans="2:5" hidden="1" x14ac:dyDescent="0.25">
      <c r="B322" s="110" t="s">
        <v>182</v>
      </c>
      <c r="C322" s="80"/>
      <c r="D322" s="136"/>
      <c r="E322" s="79">
        <f>+C322-D322</f>
        <v>0</v>
      </c>
    </row>
    <row r="323" spans="2:5" hidden="1" x14ac:dyDescent="0.25">
      <c r="B323" s="150" t="s">
        <v>183</v>
      </c>
      <c r="C323" s="80"/>
      <c r="D323" s="136"/>
      <c r="E323" s="79">
        <f>+C323-D323</f>
        <v>0</v>
      </c>
    </row>
    <row r="324" spans="2:5" ht="28.5" hidden="1" x14ac:dyDescent="0.25">
      <c r="B324" s="138" t="s">
        <v>184</v>
      </c>
      <c r="C324" s="151">
        <f>SUM(C322:C323)</f>
        <v>0</v>
      </c>
      <c r="D324" s="152">
        <f>SUM(D322:D323)</f>
        <v>0</v>
      </c>
      <c r="E324" s="151">
        <f>SUM(E322:E323)</f>
        <v>0</v>
      </c>
    </row>
    <row r="325" spans="2:5" ht="28.5" hidden="1" x14ac:dyDescent="0.25">
      <c r="B325" s="138" t="s">
        <v>185</v>
      </c>
      <c r="C325" s="153">
        <v>0</v>
      </c>
      <c r="D325" s="142">
        <v>0</v>
      </c>
      <c r="E325" s="143">
        <f>+C325-D325</f>
        <v>0</v>
      </c>
    </row>
    <row r="326" spans="2:5" ht="28.5" hidden="1" x14ac:dyDescent="0.25">
      <c r="B326" s="138" t="s">
        <v>186</v>
      </c>
      <c r="C326" s="151">
        <f>+C324-C325</f>
        <v>0</v>
      </c>
      <c r="D326" s="152">
        <f>+D324-D325</f>
        <v>0</v>
      </c>
      <c r="E326" s="151">
        <f>+E324-E325</f>
        <v>0</v>
      </c>
    </row>
    <row r="327" spans="2:5" hidden="1" x14ac:dyDescent="0.25">
      <c r="B327" s="148" t="s">
        <v>187</v>
      </c>
      <c r="C327" s="144"/>
      <c r="D327" s="145"/>
      <c r="E327" s="146"/>
    </row>
    <row r="328" spans="2:5" hidden="1" x14ac:dyDescent="0.25">
      <c r="B328" s="39" t="str">
        <f>+B313</f>
        <v xml:space="preserve">Costos de adquisición  </v>
      </c>
      <c r="C328" s="80">
        <f>+'[1]BALANZA G'!D55</f>
        <v>1623675</v>
      </c>
      <c r="D328" s="136">
        <f>+'[1]BALANZA G'!D55</f>
        <v>1623675</v>
      </c>
      <c r="E328" s="79">
        <f>+C328-D328</f>
        <v>0</v>
      </c>
    </row>
    <row r="329" spans="2:5" hidden="1" x14ac:dyDescent="0.25">
      <c r="B329" s="39" t="str">
        <f>+B314</f>
        <v>Adiciones</v>
      </c>
      <c r="C329" s="80">
        <f>+'[1]BALANZA G'!C55-'[1]BALANZA G'!D55</f>
        <v>0</v>
      </c>
      <c r="D329" s="136">
        <f>+'[1]BALANZA G'!F55</f>
        <v>1623675</v>
      </c>
      <c r="E329" s="79">
        <f>+C329-D329</f>
        <v>-1623675</v>
      </c>
    </row>
    <row r="330" spans="2:5" hidden="1" x14ac:dyDescent="0.25">
      <c r="B330" s="39" t="str">
        <f>+B315</f>
        <v>Retiros</v>
      </c>
      <c r="C330" s="80"/>
      <c r="D330" s="136"/>
      <c r="E330" s="79">
        <f>+C330-D330</f>
        <v>0</v>
      </c>
    </row>
    <row r="331" spans="2:5" hidden="1" x14ac:dyDescent="0.25">
      <c r="B331" s="39" t="str">
        <f>+B316</f>
        <v>Depreciación Acumulada</v>
      </c>
      <c r="C331" s="80"/>
      <c r="D331" s="136"/>
      <c r="E331" s="79"/>
    </row>
    <row r="332" spans="2:5" hidden="1" x14ac:dyDescent="0.25">
      <c r="B332" s="39" t="str">
        <f>+B317</f>
        <v>Depreciación del periodo</v>
      </c>
      <c r="C332" s="80"/>
      <c r="D332" s="136"/>
      <c r="E332" s="79"/>
    </row>
    <row r="333" spans="2:5" hidden="1" x14ac:dyDescent="0.25">
      <c r="B333" s="138" t="s">
        <v>188</v>
      </c>
      <c r="C333" s="139">
        <f>SUM(C322:C329)</f>
        <v>1623675</v>
      </c>
      <c r="D333" s="140">
        <f>SUM(D322:D329)</f>
        <v>3247350</v>
      </c>
      <c r="E333" s="139">
        <f>SUM(E322:E329)</f>
        <v>-1623675</v>
      </c>
    </row>
    <row r="334" spans="2:5" hidden="1" x14ac:dyDescent="0.25">
      <c r="B334" s="148" t="s">
        <v>189</v>
      </c>
      <c r="C334" s="144"/>
      <c r="D334" s="145"/>
      <c r="E334" s="146"/>
    </row>
    <row r="335" spans="2:5" hidden="1" x14ac:dyDescent="0.25">
      <c r="B335" s="39" t="str">
        <f>+B328</f>
        <v xml:space="preserve">Costos de adquisición  </v>
      </c>
      <c r="C335" s="80">
        <f>+'[1]BALANZA G'!D58</f>
        <v>953149176.46000004</v>
      </c>
      <c r="D335" s="136">
        <f>+'[1]BALANZA G'!D58</f>
        <v>953149176.46000004</v>
      </c>
      <c r="E335" s="79">
        <f>+C335-D335</f>
        <v>0</v>
      </c>
    </row>
    <row r="336" spans="2:5" hidden="1" x14ac:dyDescent="0.25">
      <c r="B336" s="39" t="str">
        <f>+B329</f>
        <v>Adiciones</v>
      </c>
      <c r="C336" s="80">
        <f>+'[1]BALANZA G'!C58-'[1]BALANZA G'!D58</f>
        <v>0</v>
      </c>
      <c r="D336" s="136">
        <f>+'[1]BALANZA G'!J57</f>
        <v>0</v>
      </c>
      <c r="E336" s="79">
        <f>+C336-D336</f>
        <v>0</v>
      </c>
    </row>
    <row r="337" spans="2:5" hidden="1" x14ac:dyDescent="0.25">
      <c r="B337" s="39" t="str">
        <f>+B330</f>
        <v>Retiros</v>
      </c>
      <c r="C337" s="80"/>
      <c r="D337" s="136"/>
      <c r="E337" s="79"/>
    </row>
    <row r="338" spans="2:5" hidden="1" x14ac:dyDescent="0.25">
      <c r="B338" s="39" t="str">
        <f>+B331</f>
        <v>Depreciación Acumulada</v>
      </c>
      <c r="C338" s="80">
        <f>-[1]nota12!E28</f>
        <v>-270856525.61000001</v>
      </c>
      <c r="D338" s="136"/>
      <c r="E338" s="79"/>
    </row>
    <row r="339" spans="2:5" hidden="1" x14ac:dyDescent="0.25">
      <c r="B339" s="39" t="str">
        <f>+B332</f>
        <v>Depreciación del periodo</v>
      </c>
      <c r="C339" s="80">
        <f>-[1]nota12!E29</f>
        <v>0</v>
      </c>
      <c r="D339" s="136"/>
      <c r="E339" s="79"/>
    </row>
    <row r="340" spans="2:5" hidden="1" x14ac:dyDescent="0.25">
      <c r="B340" s="138" t="s">
        <v>190</v>
      </c>
      <c r="C340" s="139">
        <f>SUM(C335:C339)</f>
        <v>682292650.85000002</v>
      </c>
      <c r="D340" s="140">
        <f>+D335+D336-D337</f>
        <v>953149176.46000004</v>
      </c>
      <c r="E340" s="139">
        <f>+E335+E336-E337</f>
        <v>0</v>
      </c>
    </row>
    <row r="341" spans="2:5" hidden="1" x14ac:dyDescent="0.25">
      <c r="B341" s="138" t="s">
        <v>188</v>
      </c>
      <c r="C341" s="139">
        <f>+C340+C333</f>
        <v>683916325.85000002</v>
      </c>
      <c r="D341" s="140">
        <f>+D340+D333</f>
        <v>956396526.46000004</v>
      </c>
      <c r="E341" s="139">
        <f>+E340+E333</f>
        <v>-1623675</v>
      </c>
    </row>
    <row r="342" spans="2:5" hidden="1" x14ac:dyDescent="0.25">
      <c r="B342" s="138" t="s">
        <v>191</v>
      </c>
      <c r="C342" s="141"/>
      <c r="D342" s="142"/>
      <c r="E342" s="143">
        <f>+C342-D342</f>
        <v>0</v>
      </c>
    </row>
    <row r="343" spans="2:5" ht="28.5" hidden="1" x14ac:dyDescent="0.25">
      <c r="B343" s="138" t="s">
        <v>192</v>
      </c>
      <c r="C343" s="139">
        <f>+C341-C342</f>
        <v>683916325.85000002</v>
      </c>
      <c r="D343" s="140">
        <f>+D341-D342</f>
        <v>956396526.46000004</v>
      </c>
      <c r="E343" s="139">
        <f>+E341-E342</f>
        <v>-1623675</v>
      </c>
    </row>
    <row r="344" spans="2:5" hidden="1" x14ac:dyDescent="0.25">
      <c r="B344" s="154" t="s">
        <v>193</v>
      </c>
      <c r="C344" s="149"/>
      <c r="D344" s="136"/>
      <c r="E344" s="79">
        <f>+C344-D344</f>
        <v>0</v>
      </c>
    </row>
    <row r="345" spans="2:5" hidden="1" x14ac:dyDescent="0.25">
      <c r="B345" s="110" t="s">
        <v>194</v>
      </c>
      <c r="C345" s="80"/>
      <c r="D345" s="136"/>
      <c r="E345" s="79">
        <f>+C345-D345</f>
        <v>0</v>
      </c>
    </row>
    <row r="346" spans="2:5" hidden="1" x14ac:dyDescent="0.25">
      <c r="B346" s="138" t="s">
        <v>195</v>
      </c>
      <c r="C346" s="139">
        <f>SUM(C345)</f>
        <v>0</v>
      </c>
      <c r="D346" s="140">
        <f>SUM(D345)</f>
        <v>0</v>
      </c>
      <c r="E346" s="139">
        <f>SUM(E345)</f>
        <v>0</v>
      </c>
    </row>
    <row r="347" spans="2:5" ht="28.5" hidden="1" x14ac:dyDescent="0.25">
      <c r="B347" s="138" t="s">
        <v>196</v>
      </c>
      <c r="C347" s="141"/>
      <c r="D347" s="142"/>
      <c r="E347" s="143">
        <f>+C347-D347</f>
        <v>0</v>
      </c>
    </row>
    <row r="348" spans="2:5" ht="28.5" hidden="1" x14ac:dyDescent="0.25">
      <c r="B348" s="138" t="s">
        <v>197</v>
      </c>
      <c r="C348" s="139">
        <f>+C346-C347</f>
        <v>0</v>
      </c>
      <c r="D348" s="140">
        <f>+D346-D347</f>
        <v>0</v>
      </c>
      <c r="E348" s="139">
        <f>+E346-E347</f>
        <v>0</v>
      </c>
    </row>
    <row r="349" spans="2:5" hidden="1" x14ac:dyDescent="0.25">
      <c r="B349" s="154" t="s">
        <v>198</v>
      </c>
      <c r="C349" s="149"/>
      <c r="D349" s="136"/>
      <c r="E349" s="79"/>
    </row>
    <row r="350" spans="2:5" hidden="1" x14ac:dyDescent="0.25">
      <c r="B350" s="150" t="s">
        <v>199</v>
      </c>
      <c r="C350" s="80"/>
      <c r="D350" s="136"/>
      <c r="E350" s="79">
        <f>+C350-D350</f>
        <v>0</v>
      </c>
    </row>
    <row r="351" spans="2:5" hidden="1" x14ac:dyDescent="0.25">
      <c r="B351" s="150" t="s">
        <v>200</v>
      </c>
      <c r="C351" s="80"/>
      <c r="D351" s="136"/>
      <c r="E351" s="79">
        <f>+C351-D351</f>
        <v>0</v>
      </c>
    </row>
    <row r="352" spans="2:5" hidden="1" x14ac:dyDescent="0.25">
      <c r="B352" s="150" t="s">
        <v>201</v>
      </c>
      <c r="C352" s="80"/>
      <c r="D352" s="136"/>
      <c r="E352" s="79">
        <f>+C352-D352</f>
        <v>0</v>
      </c>
    </row>
    <row r="353" spans="1:5" hidden="1" x14ac:dyDescent="0.25">
      <c r="B353" s="138" t="s">
        <v>202</v>
      </c>
      <c r="C353" s="139">
        <f>SUM(C350:C352)</f>
        <v>0</v>
      </c>
      <c r="D353" s="140">
        <f>SUM(D350:D352)</f>
        <v>0</v>
      </c>
      <c r="E353" s="139">
        <f>SUM(E350:E352)</f>
        <v>0</v>
      </c>
    </row>
    <row r="354" spans="1:5" ht="28.5" hidden="1" x14ac:dyDescent="0.25">
      <c r="B354" s="138" t="s">
        <v>203</v>
      </c>
      <c r="C354" s="141"/>
      <c r="D354" s="142"/>
      <c r="E354" s="143">
        <f>+C354-D354</f>
        <v>0</v>
      </c>
    </row>
    <row r="355" spans="1:5" ht="28.5" hidden="1" x14ac:dyDescent="0.25">
      <c r="B355" s="138" t="s">
        <v>204</v>
      </c>
      <c r="C355" s="139">
        <f>+C353-C354</f>
        <v>0</v>
      </c>
      <c r="D355" s="140">
        <f>+D353-D354</f>
        <v>0</v>
      </c>
      <c r="E355" s="139">
        <f>+E353-E354</f>
        <v>0</v>
      </c>
    </row>
    <row r="356" spans="1:5" hidden="1" x14ac:dyDescent="0.25">
      <c r="B356" s="138" t="s">
        <v>205</v>
      </c>
      <c r="C356" s="155">
        <f>+C355+C348+C343+C326+C320+C311+C302+C293</f>
        <v>711349521.82000005</v>
      </c>
      <c r="D356" s="156">
        <f>+D355+D348+D343+D326+D320+D311+D302+D293</f>
        <v>1100214563.77</v>
      </c>
      <c r="E356" s="155">
        <f>+E355+E348+E343+E326+E320+E311+E302+E293</f>
        <v>-40934635.779999994</v>
      </c>
    </row>
    <row r="357" spans="1:5" hidden="1" x14ac:dyDescent="0.25">
      <c r="B357" s="138" t="s">
        <v>206</v>
      </c>
      <c r="C357" s="157">
        <f>+C354+C347+C342+C325+C319+C310+C301+C292</f>
        <v>0</v>
      </c>
      <c r="D357" s="142">
        <f>+D354+D347+D342+D325+D319+D310+D301+D292</f>
        <v>0</v>
      </c>
      <c r="E357" s="143">
        <f>+C357-D357</f>
        <v>0</v>
      </c>
    </row>
    <row r="358" spans="1:5" hidden="1" x14ac:dyDescent="0.25">
      <c r="B358" s="138" t="s">
        <v>207</v>
      </c>
      <c r="C358" s="155">
        <f>+C341+C320+C311+C302+C293</f>
        <v>711349521.82000005</v>
      </c>
      <c r="D358" s="156">
        <f>+D341+D320+D311+D302+D293</f>
        <v>1100214563.77</v>
      </c>
      <c r="E358" s="155">
        <f>+E356-E357</f>
        <v>-40934635.779999994</v>
      </c>
    </row>
    <row r="359" spans="1:5" x14ac:dyDescent="0.25">
      <c r="A359" s="9"/>
      <c r="B359" s="158"/>
      <c r="C359" s="159"/>
      <c r="D359" s="160"/>
      <c r="E359" s="161"/>
    </row>
    <row r="360" spans="1:5" x14ac:dyDescent="0.25">
      <c r="A360" s="43"/>
      <c r="B360" s="51" t="str">
        <f>("Cambio porcentual con relación al "&amp;$D$144&amp;".")</f>
        <v>Cambio porcentual con relación al 2024.</v>
      </c>
      <c r="C360" s="52"/>
      <c r="D360" s="123" t="str">
        <f>IF(E360&gt;=0,"Aumento","Disminución")</f>
        <v>Disminución</v>
      </c>
      <c r="E360" s="124">
        <f>+E358/D358</f>
        <v>-3.7206047918265317E-2</v>
      </c>
    </row>
    <row r="361" spans="1:5" x14ac:dyDescent="0.25">
      <c r="B361" s="103"/>
    </row>
    <row r="362" spans="1:5" x14ac:dyDescent="0.25">
      <c r="B362" s="103"/>
    </row>
    <row r="363" spans="1:5" x14ac:dyDescent="0.25">
      <c r="B363" s="103"/>
    </row>
    <row r="364" spans="1:5" x14ac:dyDescent="0.25">
      <c r="B364" s="103"/>
    </row>
    <row r="365" spans="1:5" x14ac:dyDescent="0.25">
      <c r="B365" s="103"/>
    </row>
    <row r="366" spans="1:5" x14ac:dyDescent="0.25">
      <c r="B366" s="103"/>
    </row>
    <row r="367" spans="1:5" x14ac:dyDescent="0.25">
      <c r="B367" s="103"/>
    </row>
    <row r="368" spans="1:5" x14ac:dyDescent="0.25">
      <c r="B368" s="103"/>
    </row>
    <row r="369" spans="2:2" x14ac:dyDescent="0.25">
      <c r="B369" s="103"/>
    </row>
    <row r="370" spans="2:2" x14ac:dyDescent="0.25">
      <c r="B370" s="103"/>
    </row>
    <row r="371" spans="2:2" x14ac:dyDescent="0.25">
      <c r="B371" s="103"/>
    </row>
    <row r="372" spans="2:2" x14ac:dyDescent="0.25">
      <c r="B372" s="103"/>
    </row>
    <row r="373" spans="2:2" x14ac:dyDescent="0.25">
      <c r="B373" s="103"/>
    </row>
    <row r="374" spans="2:2" x14ac:dyDescent="0.25">
      <c r="B374" s="103"/>
    </row>
    <row r="375" spans="2:2" x14ac:dyDescent="0.25">
      <c r="B375" s="103"/>
    </row>
    <row r="376" spans="2:2" x14ac:dyDescent="0.25">
      <c r="B376" s="103"/>
    </row>
    <row r="377" spans="2:2" x14ac:dyDescent="0.25">
      <c r="B377" s="103"/>
    </row>
    <row r="378" spans="2:2" x14ac:dyDescent="0.25">
      <c r="B378" s="103"/>
    </row>
    <row r="379" spans="2:2" x14ac:dyDescent="0.25">
      <c r="B379" s="103"/>
    </row>
    <row r="380" spans="2:2" x14ac:dyDescent="0.25">
      <c r="B380" s="103"/>
    </row>
    <row r="381" spans="2:2" x14ac:dyDescent="0.25">
      <c r="B381" s="103"/>
    </row>
    <row r="382" spans="2:2" x14ac:dyDescent="0.25">
      <c r="B382" s="103"/>
    </row>
    <row r="383" spans="2:2" x14ac:dyDescent="0.25">
      <c r="B383" s="103"/>
    </row>
    <row r="384" spans="2:2" x14ac:dyDescent="0.25">
      <c r="B384" s="103"/>
    </row>
    <row r="385" spans="2:2" x14ac:dyDescent="0.25">
      <c r="B385" s="103"/>
    </row>
    <row r="386" spans="2:2" x14ac:dyDescent="0.25">
      <c r="B386" s="103"/>
    </row>
    <row r="387" spans="2:2" x14ac:dyDescent="0.25">
      <c r="B387" s="103"/>
    </row>
    <row r="388" spans="2:2" x14ac:dyDescent="0.25">
      <c r="B388" s="103"/>
    </row>
    <row r="389" spans="2:2" x14ac:dyDescent="0.25">
      <c r="B389" s="103"/>
    </row>
    <row r="390" spans="2:2" x14ac:dyDescent="0.25">
      <c r="B390" s="103"/>
    </row>
    <row r="391" spans="2:2" x14ac:dyDescent="0.25">
      <c r="B391" s="103"/>
    </row>
    <row r="392" spans="2:2" x14ac:dyDescent="0.25">
      <c r="B392" s="103"/>
    </row>
    <row r="393" spans="2:2" x14ac:dyDescent="0.25">
      <c r="B393" s="103"/>
    </row>
    <row r="394" spans="2:2" x14ac:dyDescent="0.25">
      <c r="B394" s="103"/>
    </row>
    <row r="395" spans="2:2" x14ac:dyDescent="0.25">
      <c r="B395" s="103"/>
    </row>
    <row r="396" spans="2:2" x14ac:dyDescent="0.25">
      <c r="B396" s="103"/>
    </row>
    <row r="397" spans="2:2" x14ac:dyDescent="0.25">
      <c r="B397" s="103"/>
    </row>
    <row r="398" spans="2:2" x14ac:dyDescent="0.25">
      <c r="B398" s="103"/>
    </row>
    <row r="399" spans="2:2" x14ac:dyDescent="0.25">
      <c r="B399" s="103"/>
    </row>
    <row r="400" spans="2:2" x14ac:dyDescent="0.25">
      <c r="B400" s="103"/>
    </row>
    <row r="401" spans="1:5" x14ac:dyDescent="0.25">
      <c r="B401" s="103"/>
    </row>
    <row r="402" spans="1:5" x14ac:dyDescent="0.25">
      <c r="B402" s="103"/>
    </row>
    <row r="403" spans="1:5" x14ac:dyDescent="0.25">
      <c r="B403" s="103"/>
    </row>
    <row r="404" spans="1:5" x14ac:dyDescent="0.25">
      <c r="B404" s="103"/>
    </row>
    <row r="405" spans="1:5" x14ac:dyDescent="0.25">
      <c r="B405" s="103"/>
    </row>
    <row r="406" spans="1:5" x14ac:dyDescent="0.25">
      <c r="B406" s="103"/>
    </row>
    <row r="407" spans="1:5" x14ac:dyDescent="0.25">
      <c r="B407" s="103"/>
    </row>
    <row r="408" spans="1:5" x14ac:dyDescent="0.25">
      <c r="B408" s="103"/>
    </row>
    <row r="409" spans="1:5" x14ac:dyDescent="0.25">
      <c r="B409" s="103"/>
    </row>
    <row r="410" spans="1:5" x14ac:dyDescent="0.25">
      <c r="B410" s="61" t="s">
        <v>208</v>
      </c>
    </row>
    <row r="411" spans="1:5" x14ac:dyDescent="0.25">
      <c r="B411" s="61" t="s">
        <v>209</v>
      </c>
    </row>
    <row r="412" spans="1:5" x14ac:dyDescent="0.25">
      <c r="B412" s="13" t="str">
        <f>("Un detalle de las  "&amp;B411&amp;" al "&amp;[1]BALANZA!$B$3&amp;" "&amp;[1]BALANZA!$C$3&amp;" es como se detalla a continuación:")</f>
        <v>Un detalle de las  Activos Intangible  al 30 de abril del 2025 - 2024 es como se detalla a continuación:</v>
      </c>
      <c r="C412" s="30"/>
      <c r="D412" s="30"/>
      <c r="E412" s="30"/>
    </row>
    <row r="413" spans="1:5" ht="49.5" customHeight="1" x14ac:dyDescent="0.25">
      <c r="B413" s="19" t="str">
        <f>("Las "&amp;B411&amp;" está integrado siguientes cuentas, para el "&amp;C415&amp;" el total era de RD$"&amp;R418&amp;" y para el "&amp;D415&amp;" el total fue de RD$"&amp;R419&amp;" , Según el siguiente detalle:")</f>
        <v>Las Activos Intangible  está integrado siguientes cuentas, para el 2025 el total era de RD$ y para el 2024 el total fue de RD$ , Según el siguiente detalle:</v>
      </c>
      <c r="C413" s="19"/>
      <c r="D413" s="19"/>
      <c r="E413" s="19"/>
    </row>
    <row r="414" spans="1:5" x14ac:dyDescent="0.25">
      <c r="A414" s="43"/>
      <c r="B414" s="162"/>
      <c r="C414" s="162"/>
      <c r="D414" s="163"/>
      <c r="E414" s="164"/>
    </row>
    <row r="415" spans="1:5" x14ac:dyDescent="0.25">
      <c r="B415" s="165" t="s">
        <v>96</v>
      </c>
      <c r="C415" s="166">
        <f>+[1]BALANZA!B4</f>
        <v>2025</v>
      </c>
      <c r="D415" s="166">
        <f>+[1]BALANZA!C4</f>
        <v>2024</v>
      </c>
      <c r="E415" s="165" t="s">
        <v>97</v>
      </c>
    </row>
    <row r="416" spans="1:5" x14ac:dyDescent="0.25">
      <c r="B416" s="167" t="s">
        <v>210</v>
      </c>
      <c r="C416" s="90">
        <v>208560</v>
      </c>
      <c r="D416" s="90">
        <v>160568.42000000001</v>
      </c>
      <c r="E416" s="168">
        <f>+C416-D416</f>
        <v>47991.579999999987</v>
      </c>
    </row>
    <row r="417" spans="1:5" x14ac:dyDescent="0.25">
      <c r="B417" s="167" t="s">
        <v>211</v>
      </c>
      <c r="C417" s="90">
        <f>-C652</f>
        <v>-17380</v>
      </c>
      <c r="D417" s="90">
        <f>-D416</f>
        <v>-160568.42000000001</v>
      </c>
      <c r="E417" s="168">
        <f>+C417-D417</f>
        <v>143188.42000000001</v>
      </c>
    </row>
    <row r="418" spans="1:5" x14ac:dyDescent="0.25">
      <c r="B418" s="113" t="s">
        <v>212</v>
      </c>
      <c r="C418" s="114">
        <f>+C416+C417</f>
        <v>191180</v>
      </c>
      <c r="D418" s="114">
        <f>SUM(D416:D416)+D417</f>
        <v>0</v>
      </c>
      <c r="E418" s="114">
        <f>SUM(E416:E416)-E417</f>
        <v>-95196.840000000026</v>
      </c>
    </row>
    <row r="419" spans="1:5" x14ac:dyDescent="0.25">
      <c r="B419" s="169"/>
      <c r="C419" s="170"/>
      <c r="D419" s="171"/>
      <c r="E419" s="172"/>
    </row>
    <row r="420" spans="1:5" x14ac:dyDescent="0.25">
      <c r="A420" s="43"/>
      <c r="B420" s="51" t="str">
        <f>("Cambio porcentual con relación al "&amp;$D$144&amp;".")</f>
        <v>Cambio porcentual con relación al 2024.</v>
      </c>
      <c r="C420" s="52"/>
      <c r="D420" s="173">
        <v>0</v>
      </c>
      <c r="E420" s="86">
        <f>IFERROR(+E418/D418,0)</f>
        <v>0</v>
      </c>
    </row>
    <row r="421" spans="1:5" x14ac:dyDescent="0.25">
      <c r="A421" s="43"/>
      <c r="B421" s="162"/>
      <c r="C421" s="162"/>
      <c r="D421" s="174"/>
      <c r="E421" s="164"/>
    </row>
    <row r="422" spans="1:5" ht="72" customHeight="1" x14ac:dyDescent="0.25">
      <c r="A422" s="43"/>
      <c r="B422" s="28" t="s">
        <v>156</v>
      </c>
      <c r="C422" s="28"/>
      <c r="D422" s="28"/>
      <c r="E422" s="28"/>
    </row>
    <row r="423" spans="1:5" x14ac:dyDescent="0.25">
      <c r="A423" s="43"/>
      <c r="B423" s="162"/>
      <c r="C423" s="162"/>
      <c r="D423" s="174"/>
      <c r="E423" s="164"/>
    </row>
    <row r="424" spans="1:5" x14ac:dyDescent="0.25">
      <c r="A424" s="43"/>
      <c r="B424" s="162"/>
      <c r="C424" s="162"/>
      <c r="D424" s="174"/>
      <c r="E424" s="164"/>
    </row>
    <row r="425" spans="1:5" x14ac:dyDescent="0.25">
      <c r="A425" s="43"/>
      <c r="B425" s="162"/>
      <c r="C425" s="162"/>
      <c r="D425" s="174"/>
      <c r="E425" s="164"/>
    </row>
    <row r="426" spans="1:5" x14ac:dyDescent="0.25">
      <c r="A426" s="43"/>
      <c r="B426" s="162"/>
      <c r="C426" s="162"/>
      <c r="D426" s="174"/>
      <c r="E426" s="164"/>
    </row>
    <row r="427" spans="1:5" x14ac:dyDescent="0.25">
      <c r="A427" s="43"/>
      <c r="B427" s="175"/>
      <c r="C427" s="175"/>
      <c r="D427" s="176"/>
      <c r="E427" s="177"/>
    </row>
    <row r="428" spans="1:5" x14ac:dyDescent="0.25">
      <c r="B428" s="178" t="s">
        <v>213</v>
      </c>
      <c r="C428" s="179"/>
      <c r="D428" s="180"/>
      <c r="E428" s="179"/>
    </row>
    <row r="429" spans="1:5" x14ac:dyDescent="0.25">
      <c r="B429" s="5" t="s">
        <v>214</v>
      </c>
      <c r="C429" s="5"/>
      <c r="D429" s="5"/>
      <c r="E429" s="5"/>
    </row>
    <row r="430" spans="1:5" ht="21.75" customHeight="1" x14ac:dyDescent="0.25">
      <c r="B430" s="13" t="str">
        <f>("Un detalle de las  "&amp;B429&amp;" al "&amp;[1]BALANZA!$B$3&amp;" "&amp;[1]BALANZA!$C$3&amp;" es como se detalla a continuación:")</f>
        <v>Un detalle de las  Cuentas por pagar a corto plazo al 30 de abril del 2025 - 2024 es como se detalla a continuación:</v>
      </c>
      <c r="C430" s="30"/>
      <c r="D430" s="30"/>
      <c r="E430" s="30"/>
    </row>
    <row r="431" spans="1:5" ht="66.75" customHeight="1" x14ac:dyDescent="0.25">
      <c r="B431" s="19" t="str">
        <f>("Las Cuentas por Pagar está integrado por las deudas y compromisos de pago que tiene la institución con los suplidores de servicios, retenciones impositivas y documentos por pagar, con un aumento en el "&amp;C434&amp;"  el total era de RD$ "&amp;R438&amp;" y para el "&amp;D434&amp;" el total fue de RD$ "&amp;R439&amp;" , Según el siguiente detalle:")</f>
        <v>Las Cuentas por Pagar está integrado por las deudas y compromisos de pago que tiene la institución con los suplidores de servicios, retenciones impositivas y documentos por pagar, con un aumento en el 2025  el total era de RD$  y para el 2024 el total fue de RD$  , Según el siguiente detalle:</v>
      </c>
      <c r="C431" s="19"/>
      <c r="D431" s="19"/>
      <c r="E431" s="19"/>
    </row>
    <row r="432" spans="1:5" ht="52.5" customHeight="1" x14ac:dyDescent="0.25">
      <c r="B432" s="13" t="s">
        <v>215</v>
      </c>
      <c r="C432" s="13"/>
      <c r="D432" s="13"/>
      <c r="E432" s="13"/>
    </row>
    <row r="433" spans="1:5" x14ac:dyDescent="0.25">
      <c r="B433" s="12" t="s">
        <v>216</v>
      </c>
    </row>
    <row r="434" spans="1:5" x14ac:dyDescent="0.25">
      <c r="B434" s="181" t="s">
        <v>217</v>
      </c>
      <c r="C434" s="166">
        <f>+[1]BALANZA!B4</f>
        <v>2025</v>
      </c>
      <c r="D434" s="166">
        <f>+[1]BALANZA!C4</f>
        <v>2024</v>
      </c>
      <c r="E434" s="182" t="s">
        <v>218</v>
      </c>
    </row>
    <row r="435" spans="1:5" x14ac:dyDescent="0.25">
      <c r="B435" s="150" t="s">
        <v>219</v>
      </c>
      <c r="C435" s="90">
        <f>+'[1]BALANZA G'!C105-C436</f>
        <v>17265094.439999998</v>
      </c>
      <c r="D435" s="90">
        <f>+'[1]BALANZA G'!D105-D436</f>
        <v>13147066.369999999</v>
      </c>
      <c r="E435" s="42">
        <f>+C435-D435</f>
        <v>4118028.0699999984</v>
      </c>
    </row>
    <row r="436" spans="1:5" x14ac:dyDescent="0.25">
      <c r="B436" s="150" t="s">
        <v>220</v>
      </c>
      <c r="C436" s="183">
        <f>12121928.88</f>
        <v>12121928.880000001</v>
      </c>
      <c r="D436" s="90">
        <v>800000</v>
      </c>
      <c r="E436" s="42">
        <f>+C436-D436</f>
        <v>11321928.880000001</v>
      </c>
    </row>
    <row r="437" spans="1:5" x14ac:dyDescent="0.25">
      <c r="B437" s="150" t="s">
        <v>221</v>
      </c>
      <c r="C437" s="183">
        <f>+'[1]BALANZA G'!C106+'[1]BALANZA G'!C107</f>
        <v>0</v>
      </c>
      <c r="D437" s="90">
        <f>+'[1]BALANZA G'!D106+'[1]BALANZA G'!D107</f>
        <v>1443118.16</v>
      </c>
      <c r="E437" s="42">
        <f>+C437-D437</f>
        <v>-1443118.16</v>
      </c>
    </row>
    <row r="438" spans="1:5" x14ac:dyDescent="0.25">
      <c r="B438" s="181" t="s">
        <v>222</v>
      </c>
      <c r="C438" s="115">
        <f>SUM(C435:C437)</f>
        <v>29387023.32</v>
      </c>
      <c r="D438" s="184">
        <f>SUM(D435:D437)</f>
        <v>15390184.529999999</v>
      </c>
      <c r="E438" s="115">
        <f>SUM(E435:E437)</f>
        <v>13996838.789999999</v>
      </c>
    </row>
    <row r="439" spans="1:5" x14ac:dyDescent="0.25">
      <c r="B439" s="185"/>
      <c r="C439" s="186"/>
      <c r="D439" s="187"/>
    </row>
    <row r="440" spans="1:5" x14ac:dyDescent="0.25">
      <c r="A440" s="43"/>
      <c r="B440" s="51" t="str">
        <f>("Cambio porcentual con relación al "&amp;$D$144&amp;".")</f>
        <v>Cambio porcentual con relación al 2024.</v>
      </c>
      <c r="C440" s="52"/>
      <c r="D440" s="53" t="str">
        <f>IF(E440&gt;=0,"Aumento","Disminución")</f>
        <v>Aumento</v>
      </c>
      <c r="E440" s="86">
        <f>+E438/D438</f>
        <v>0.9094652999589472</v>
      </c>
    </row>
    <row r="441" spans="1:5" x14ac:dyDescent="0.25">
      <c r="B441" s="5" t="s">
        <v>223</v>
      </c>
      <c r="C441" s="5"/>
      <c r="D441" s="5"/>
      <c r="E441" s="5"/>
    </row>
    <row r="442" spans="1:5" x14ac:dyDescent="0.25">
      <c r="B442" s="188"/>
      <c r="C442" s="188"/>
      <c r="D442" s="189"/>
      <c r="E442" s="188"/>
    </row>
    <row r="443" spans="1:5" x14ac:dyDescent="0.25">
      <c r="B443" s="61" t="s">
        <v>224</v>
      </c>
    </row>
    <row r="444" spans="1:5" x14ac:dyDescent="0.25">
      <c r="B444" s="19" t="str">
        <f>+B184</f>
        <v>Un detalle del Inversiones a corto plazo al 30 de abril del 2025 - 2024 es como se detalla a continuación:</v>
      </c>
      <c r="C444" s="19"/>
      <c r="D444" s="19"/>
      <c r="E444" s="19"/>
    </row>
    <row r="445" spans="1:5" ht="44.25" customHeight="1" x14ac:dyDescent="0.25">
      <c r="B445" s="19" t="str">
        <f>("Los Prestamos por Pagar está integrado por las deudas y compromisos de pago que tiene la institución con los bancos, para el "&amp;C447&amp;" el total era de RD$"&amp;C449&amp;" y para el "&amp;D447&amp;" el total fue de RD$"&amp;D449&amp;" , Según el siguiente detalle:")</f>
        <v>Los Prestamos por Pagar está integrado por las deudas y compromisos de pago que tiene la institución con los bancos, para el 2025 el total era de RD$0 y para el 2024 el total fue de RD$0 , Según el siguiente detalle:</v>
      </c>
      <c r="C445" s="19"/>
      <c r="D445" s="19"/>
      <c r="E445" s="19"/>
    </row>
    <row r="446" spans="1:5" x14ac:dyDescent="0.25">
      <c r="B446" s="12" t="s">
        <v>216</v>
      </c>
    </row>
    <row r="447" spans="1:5" x14ac:dyDescent="0.25">
      <c r="B447" s="181" t="s">
        <v>217</v>
      </c>
      <c r="C447" s="166">
        <f>+C187</f>
        <v>2025</v>
      </c>
      <c r="D447" s="190">
        <f>+D187</f>
        <v>2024</v>
      </c>
      <c r="E447" s="182" t="s">
        <v>218</v>
      </c>
    </row>
    <row r="448" spans="1:5" x14ac:dyDescent="0.25">
      <c r="B448" s="150" t="s">
        <v>225</v>
      </c>
      <c r="C448" s="80">
        <f>+'[1]BALANZA G'!C116</f>
        <v>0</v>
      </c>
      <c r="D448" s="90">
        <f>+'[1]BALANZA G'!D116</f>
        <v>0</v>
      </c>
      <c r="E448" s="79">
        <f>+C448-D448</f>
        <v>0</v>
      </c>
    </row>
    <row r="449" spans="1:5" x14ac:dyDescent="0.25">
      <c r="B449" s="181" t="s">
        <v>226</v>
      </c>
      <c r="C449" s="115">
        <f>SUM(C448:C448)</f>
        <v>0</v>
      </c>
      <c r="D449" s="184">
        <f>SUM(D448:D448)</f>
        <v>0</v>
      </c>
      <c r="E449" s="115">
        <f>SUM(E448:E448)</f>
        <v>0</v>
      </c>
    </row>
    <row r="450" spans="1:5" x14ac:dyDescent="0.25">
      <c r="B450" s="185"/>
      <c r="C450" s="83"/>
      <c r="D450" s="187"/>
    </row>
    <row r="451" spans="1:5" x14ac:dyDescent="0.25">
      <c r="A451" s="43"/>
      <c r="B451" s="191" t="s">
        <v>227</v>
      </c>
      <c r="C451" s="192"/>
      <c r="D451" s="53" t="e">
        <f>IF(E451&gt;=0,"Aumento","Disminución")</f>
        <v>#DIV/0!</v>
      </c>
      <c r="E451" s="86" t="e">
        <f>+E449/D449</f>
        <v>#DIV/0!</v>
      </c>
    </row>
    <row r="452" spans="1:5" x14ac:dyDescent="0.25">
      <c r="A452" s="43"/>
      <c r="B452" s="58"/>
      <c r="C452" s="58"/>
      <c r="D452" s="56"/>
      <c r="E452" s="59"/>
    </row>
    <row r="453" spans="1:5" x14ac:dyDescent="0.25">
      <c r="A453" s="43"/>
      <c r="B453" s="58"/>
      <c r="C453" s="58"/>
      <c r="D453" s="56"/>
      <c r="E453" s="59"/>
    </row>
    <row r="454" spans="1:5" x14ac:dyDescent="0.25">
      <c r="A454" s="43"/>
      <c r="B454" s="58"/>
      <c r="C454" s="58"/>
      <c r="D454" s="56"/>
      <c r="E454" s="59"/>
    </row>
    <row r="455" spans="1:5" x14ac:dyDescent="0.25">
      <c r="A455" s="43"/>
      <c r="B455" s="58"/>
      <c r="C455" s="58"/>
      <c r="D455" s="56"/>
      <c r="E455" s="59"/>
    </row>
    <row r="456" spans="1:5" x14ac:dyDescent="0.25">
      <c r="A456" s="43"/>
      <c r="B456" s="58"/>
      <c r="C456" s="58"/>
      <c r="D456" s="56"/>
      <c r="E456" s="59"/>
    </row>
    <row r="457" spans="1:5" x14ac:dyDescent="0.25">
      <c r="A457" s="43"/>
      <c r="B457" s="58"/>
      <c r="C457" s="58"/>
      <c r="D457" s="56"/>
      <c r="E457" s="59"/>
    </row>
    <row r="458" spans="1:5" x14ac:dyDescent="0.25">
      <c r="A458" s="43"/>
      <c r="B458" s="58"/>
      <c r="C458" s="58"/>
      <c r="D458" s="56"/>
      <c r="E458" s="59"/>
    </row>
    <row r="459" spans="1:5" x14ac:dyDescent="0.25">
      <c r="A459" s="43"/>
      <c r="B459" s="58"/>
      <c r="C459" s="58"/>
      <c r="D459" s="56"/>
      <c r="E459" s="59"/>
    </row>
    <row r="460" spans="1:5" x14ac:dyDescent="0.25">
      <c r="A460" s="43"/>
      <c r="B460" s="58"/>
      <c r="C460" s="58"/>
      <c r="D460" s="56"/>
      <c r="E460" s="59"/>
    </row>
    <row r="461" spans="1:5" x14ac:dyDescent="0.25">
      <c r="A461" s="43"/>
      <c r="B461" s="58" t="s">
        <v>228</v>
      </c>
      <c r="C461" s="58"/>
      <c r="D461" s="56"/>
      <c r="E461" s="59"/>
    </row>
    <row r="462" spans="1:5" x14ac:dyDescent="0.25">
      <c r="A462" s="43"/>
      <c r="B462" s="58" t="s">
        <v>229</v>
      </c>
      <c r="C462" s="58"/>
      <c r="D462" s="56"/>
      <c r="E462" s="59"/>
    </row>
    <row r="463" spans="1:5" x14ac:dyDescent="0.25">
      <c r="B463" s="61" t="s">
        <v>230</v>
      </c>
    </row>
    <row r="464" spans="1:5" ht="21" customHeight="1" x14ac:dyDescent="0.25">
      <c r="B464" s="13" t="str">
        <f>("Un detalle de las  "&amp;B463&amp;" al "&amp;[1]BALANZA!$B$3&amp;" "&amp;[1]BALANZA!$C$3&amp;" es como se detalla a continuación:")</f>
        <v>Un detalle de las  Acumulaciones por pagar al 30 de abril del 2025 - 2024 es como se detalla a continuación:</v>
      </c>
      <c r="C464" s="30"/>
      <c r="D464" s="30"/>
      <c r="E464" s="30"/>
    </row>
    <row r="465" spans="1:5" ht="54" customHeight="1" x14ac:dyDescent="0.25">
      <c r="B465" s="19" t="str">
        <f>("Las acumulaciones por pagar para el "&amp;C467&amp;" el total era RD$ "&amp;R471&amp;" y para el "&amp;D467&amp;" el total fue de RD$ "&amp;R472&amp;" , Según el siguiente detalle:")</f>
        <v>Las acumulaciones por pagar para el 2025 el total era RD$  y para el 2024 el total fue de RD$  , Según el siguiente detalle:</v>
      </c>
      <c r="C465" s="19"/>
      <c r="D465" s="19"/>
      <c r="E465" s="19"/>
    </row>
    <row r="466" spans="1:5" x14ac:dyDescent="0.25">
      <c r="B466" s="193"/>
      <c r="C466" s="193"/>
      <c r="D466" s="193"/>
      <c r="E466" s="193"/>
    </row>
    <row r="467" spans="1:5" x14ac:dyDescent="0.25">
      <c r="B467" s="181" t="s">
        <v>217</v>
      </c>
      <c r="C467" s="166">
        <f>+C187</f>
        <v>2025</v>
      </c>
      <c r="D467" s="166">
        <f>+D187</f>
        <v>2024</v>
      </c>
      <c r="E467" s="182" t="s">
        <v>218</v>
      </c>
    </row>
    <row r="468" spans="1:5" x14ac:dyDescent="0.25">
      <c r="B468" s="150" t="s">
        <v>231</v>
      </c>
      <c r="C468" s="90">
        <f>+'[1]BALANZA G'!C112+'[1]BALANZA G'!C113</f>
        <v>0</v>
      </c>
      <c r="D468" s="90">
        <f>+'[1]BALANZA G'!D112+'[1]BALANZA G'!D113</f>
        <v>252299.3</v>
      </c>
      <c r="E468" s="42">
        <f>+C468-D468</f>
        <v>-252299.3</v>
      </c>
    </row>
    <row r="469" spans="1:5" x14ac:dyDescent="0.25">
      <c r="B469" s="150" t="s">
        <v>232</v>
      </c>
      <c r="C469" s="90">
        <f>+'[1]BALANZA G'!C102+'[1]BALANZA G'!C103</f>
        <v>0</v>
      </c>
      <c r="D469" s="90">
        <f>+'[1]BALANZA G'!D102+'[1]BALANZA G'!D103</f>
        <v>0</v>
      </c>
      <c r="E469" s="42">
        <f>+C469-D469</f>
        <v>0</v>
      </c>
    </row>
    <row r="470" spans="1:5" x14ac:dyDescent="0.25">
      <c r="B470" s="150"/>
      <c r="C470" s="90"/>
      <c r="D470" s="90"/>
      <c r="E470" s="42"/>
    </row>
    <row r="471" spans="1:5" x14ac:dyDescent="0.25">
      <c r="B471" s="181" t="s">
        <v>233</v>
      </c>
      <c r="C471" s="184">
        <f>SUM(C468:C470)</f>
        <v>0</v>
      </c>
      <c r="D471" s="184">
        <f>SUM(D468:D470)</f>
        <v>252299.3</v>
      </c>
      <c r="E471" s="184">
        <f>SUM(E468:E470)</f>
        <v>-252299.3</v>
      </c>
    </row>
    <row r="472" spans="1:5" x14ac:dyDescent="0.25">
      <c r="B472" s="185"/>
      <c r="C472" s="93">
        <f>+C471-'[1]ES F '!B36+C488</f>
        <v>0</v>
      </c>
      <c r="D472" s="187"/>
    </row>
    <row r="473" spans="1:5" x14ac:dyDescent="0.25">
      <c r="A473" s="43"/>
      <c r="B473" s="51" t="str">
        <f>("Cambio porcentual con relación al "&amp;$D$144&amp;".")</f>
        <v>Cambio porcentual con relación al 2024.</v>
      </c>
      <c r="C473" s="52"/>
      <c r="D473" s="53" t="str">
        <f>IF(E473&gt;=0,"Aumento","Disminución")</f>
        <v>Disminución</v>
      </c>
      <c r="E473" s="86">
        <f>+E471/D471</f>
        <v>-1</v>
      </c>
    </row>
    <row r="474" spans="1:5" x14ac:dyDescent="0.25">
      <c r="A474" s="43"/>
      <c r="B474" s="58"/>
      <c r="C474" s="58"/>
      <c r="D474" s="56"/>
      <c r="E474" s="59"/>
    </row>
    <row r="475" spans="1:5" x14ac:dyDescent="0.25">
      <c r="B475" s="61" t="s">
        <v>234</v>
      </c>
      <c r="C475" s="188"/>
      <c r="D475" s="188"/>
      <c r="E475" s="188"/>
    </row>
    <row r="476" spans="1:5" ht="21.75" customHeight="1" x14ac:dyDescent="0.25">
      <c r="B476" s="13" t="str">
        <f>("Un detalle de las "&amp;B475&amp;" al "&amp;[1]BALANZA!$B$3&amp;" "&amp;[1]BALANZA!$C$3&amp;" es como se detalla a continuación:")</f>
        <v>Un detalle de las Retenciones por pagar al 30 de abril del 2025 - 2024 es como se detalla a continuación:</v>
      </c>
      <c r="C476" s="30"/>
      <c r="D476" s="30"/>
      <c r="E476" s="30"/>
    </row>
    <row r="477" spans="1:5" ht="27.75" customHeight="1" x14ac:dyDescent="0.25">
      <c r="B477" s="19" t="str">
        <f>("Las  retenciones impositivas  por pagar  para el "&amp;C480&amp;" el total era RD$ "&amp;R488&amp;" y para el "&amp;D480&amp;" el total fue de RD$ "&amp;R489&amp;" , Según el siguiente detalle:")</f>
        <v>Las  retenciones impositivas  por pagar  para el 2025 el total era RD$  y para el 2024 el total fue de RD$  , Según el siguiente detalle:</v>
      </c>
      <c r="C477" s="19"/>
      <c r="D477" s="19"/>
      <c r="E477" s="19"/>
    </row>
    <row r="478" spans="1:5" x14ac:dyDescent="0.25">
      <c r="B478" s="61"/>
      <c r="C478" s="188"/>
      <c r="D478" s="188"/>
      <c r="E478" s="188"/>
    </row>
    <row r="479" spans="1:5" x14ac:dyDescent="0.25">
      <c r="B479" s="61"/>
      <c r="C479" s="188"/>
      <c r="D479" s="188"/>
      <c r="E479" s="188"/>
    </row>
    <row r="480" spans="1:5" x14ac:dyDescent="0.25">
      <c r="B480" s="181" t="s">
        <v>217</v>
      </c>
      <c r="C480" s="166">
        <f>+C467</f>
        <v>2025</v>
      </c>
      <c r="D480" s="166">
        <f>+D467</f>
        <v>2024</v>
      </c>
      <c r="E480" s="194" t="s">
        <v>218</v>
      </c>
    </row>
    <row r="481" spans="2:5" hidden="1" x14ac:dyDescent="0.25">
      <c r="B481" s="110" t="s">
        <v>235</v>
      </c>
      <c r="C481" s="80">
        <f>+'[1]BALANZA G'!C92</f>
        <v>0</v>
      </c>
      <c r="D481" s="90">
        <f>+'[1]BALANZA G'!D92</f>
        <v>0</v>
      </c>
      <c r="E481" s="79">
        <f>+C481-D481</f>
        <v>0</v>
      </c>
    </row>
    <row r="482" spans="2:5" hidden="1" x14ac:dyDescent="0.25">
      <c r="B482" s="110" t="s">
        <v>236</v>
      </c>
      <c r="C482" s="80">
        <f>+'[1]BALANZA G'!C94</f>
        <v>0</v>
      </c>
      <c r="D482" s="90">
        <f>+'[1]BALANZA G'!D94</f>
        <v>0</v>
      </c>
      <c r="E482" s="79">
        <f t="shared" ref="E482:E487" si="2">+C482-D482</f>
        <v>0</v>
      </c>
    </row>
    <row r="483" spans="2:5" hidden="1" x14ac:dyDescent="0.25">
      <c r="B483" s="110" t="s">
        <v>237</v>
      </c>
      <c r="C483" s="80">
        <f>+'[1]BALANZA G'!C95</f>
        <v>0</v>
      </c>
      <c r="D483" s="90">
        <f>+'[1]BALANZA G'!D95</f>
        <v>0</v>
      </c>
      <c r="E483" s="79">
        <f t="shared" si="2"/>
        <v>0</v>
      </c>
    </row>
    <row r="484" spans="2:5" hidden="1" x14ac:dyDescent="0.25">
      <c r="B484" s="110" t="s">
        <v>238</v>
      </c>
      <c r="C484" s="80">
        <f>+'[1]BALANZA G'!C96</f>
        <v>0</v>
      </c>
      <c r="D484" s="90">
        <f>+'[1]BALANZA G'!D96</f>
        <v>0</v>
      </c>
      <c r="E484" s="79">
        <f t="shared" si="2"/>
        <v>0</v>
      </c>
    </row>
    <row r="485" spans="2:5" x14ac:dyDescent="0.25">
      <c r="B485" s="110" t="s">
        <v>239</v>
      </c>
      <c r="C485" s="80">
        <f>+'[1]BALANZA G'!C97</f>
        <v>56304.6</v>
      </c>
      <c r="D485" s="90">
        <f>+'[1]BALANZA G'!D97</f>
        <v>0</v>
      </c>
      <c r="E485" s="79">
        <f t="shared" si="2"/>
        <v>56304.6</v>
      </c>
    </row>
    <row r="486" spans="2:5" x14ac:dyDescent="0.25">
      <c r="B486" s="110" t="s">
        <v>240</v>
      </c>
      <c r="C486" s="80">
        <f>+'[1]BALANZA G'!C98+'[1]BALANZA G'!C93</f>
        <v>0</v>
      </c>
      <c r="D486" s="80">
        <f>+'[1]BALANZA G'!D98+'[1]BALANZA G'!D93</f>
        <v>0</v>
      </c>
      <c r="E486" s="79">
        <f t="shared" si="2"/>
        <v>0</v>
      </c>
    </row>
    <row r="487" spans="2:5" x14ac:dyDescent="0.25">
      <c r="B487" s="110" t="s">
        <v>241</v>
      </c>
      <c r="C487" s="80">
        <f>+'[1]BALANZA G'!C99</f>
        <v>71945.25</v>
      </c>
      <c r="D487" s="90">
        <f>+'[1]BALANZA G'!D99</f>
        <v>0</v>
      </c>
      <c r="E487" s="79">
        <f t="shared" si="2"/>
        <v>71945.25</v>
      </c>
    </row>
    <row r="488" spans="2:5" x14ac:dyDescent="0.25">
      <c r="B488" s="181" t="s">
        <v>242</v>
      </c>
      <c r="C488" s="115">
        <f>SUM(C481:C487)</f>
        <v>128249.85</v>
      </c>
      <c r="D488" s="184">
        <f>SUM(D481:D487)</f>
        <v>0</v>
      </c>
      <c r="E488" s="115">
        <f>SUM(E481:E487)</f>
        <v>128249.85</v>
      </c>
    </row>
    <row r="489" spans="2:5" x14ac:dyDescent="0.25">
      <c r="B489" s="185"/>
      <c r="C489" s="93">
        <f>+C488-'[1]ES F '!B36+C471</f>
        <v>0</v>
      </c>
      <c r="D489" s="187"/>
    </row>
    <row r="490" spans="2:5" x14ac:dyDescent="0.25">
      <c r="B490" s="51" t="str">
        <f>("Cambio porcentual con relación al "&amp;$D$144&amp;".")</f>
        <v>Cambio porcentual con relación al 2024.</v>
      </c>
      <c r="C490" s="52"/>
      <c r="D490" s="53">
        <v>0</v>
      </c>
      <c r="E490" s="86">
        <v>0</v>
      </c>
    </row>
    <row r="491" spans="2:5" x14ac:dyDescent="0.25">
      <c r="B491" s="188"/>
      <c r="C491" s="188"/>
      <c r="D491" s="188"/>
      <c r="E491" s="188"/>
    </row>
    <row r="492" spans="2:5" x14ac:dyDescent="0.25">
      <c r="B492" s="195" t="s">
        <v>243</v>
      </c>
      <c r="C492" s="196">
        <f>+C488+C471</f>
        <v>128249.85</v>
      </c>
      <c r="D492" s="196">
        <f>+D488+D471</f>
        <v>252299.3</v>
      </c>
      <c r="E492" s="115">
        <f>SUM(E485:E491)</f>
        <v>256499.7</v>
      </c>
    </row>
    <row r="493" spans="2:5" x14ac:dyDescent="0.25">
      <c r="B493" s="188"/>
      <c r="C493" s="188"/>
      <c r="D493" s="188"/>
      <c r="E493" s="188"/>
    </row>
    <row r="494" spans="2:5" x14ac:dyDescent="0.25">
      <c r="B494" s="61" t="s">
        <v>244</v>
      </c>
      <c r="C494" s="188"/>
      <c r="D494" s="188"/>
      <c r="E494" s="188"/>
    </row>
    <row r="495" spans="2:5" x14ac:dyDescent="0.25">
      <c r="B495" s="61" t="s">
        <v>245</v>
      </c>
      <c r="C495" s="188"/>
      <c r="D495" s="94"/>
      <c r="E495" s="188"/>
    </row>
    <row r="496" spans="2:5" ht="21.75" customHeight="1" x14ac:dyDescent="0.25">
      <c r="B496" s="13" t="str">
        <f>("Un detalle del "&amp;B495&amp;" al "&amp;[1]BALANZA!$B$3&amp;" "&amp;[1]BALANZA!$C$3&amp;" es como se detalla a continuación:")</f>
        <v>Un detalle del Activos Netos/Patrimonio al 30 de abril del 2025 - 2024 es como se detalla a continuación:</v>
      </c>
      <c r="C496" s="30"/>
      <c r="D496" s="30"/>
      <c r="E496" s="30"/>
    </row>
    <row r="497" spans="1:5" ht="31.5" customHeight="1" x14ac:dyDescent="0.25">
      <c r="B497" s="197" t="str">
        <f>("El patrimonio institucional  para el "&amp;C499&amp;" tenia monto por RD$ "&amp;R504&amp;" y para el "&amp;D499&amp;" el monto fue de RD$ "&amp;R505&amp;" y está conformado con las siguientes partidas: ")</f>
        <v xml:space="preserve">El patrimonio institucional  para el 2025 tenia monto por RD$  y para el 2024 el monto fue de RD$  y está conformado con las siguientes partidas: </v>
      </c>
      <c r="C497" s="19"/>
      <c r="D497" s="19"/>
      <c r="E497" s="19"/>
    </row>
    <row r="498" spans="1:5" x14ac:dyDescent="0.25">
      <c r="B498" s="12"/>
    </row>
    <row r="499" spans="1:5" x14ac:dyDescent="0.25">
      <c r="B499" s="181" t="s">
        <v>217</v>
      </c>
      <c r="C499" s="31">
        <f>+C669</f>
        <v>2025</v>
      </c>
      <c r="D499" s="31">
        <f>+D669</f>
        <v>2024</v>
      </c>
      <c r="E499" s="194" t="s">
        <v>218</v>
      </c>
    </row>
    <row r="500" spans="1:5" x14ac:dyDescent="0.25">
      <c r="B500" s="198" t="s">
        <v>246</v>
      </c>
      <c r="C500" s="199">
        <f>+'[1]BALANZA G'!C125</f>
        <v>808793054.60000002</v>
      </c>
      <c r="D500" s="199">
        <f>+'[1]BALANZA G'!D125</f>
        <v>808793054.60000002</v>
      </c>
      <c r="E500" s="42">
        <f>+C500-D500</f>
        <v>0</v>
      </c>
    </row>
    <row r="501" spans="1:5" x14ac:dyDescent="0.25">
      <c r="B501" s="198" t="s">
        <v>247</v>
      </c>
      <c r="C501" s="200">
        <f>+D503+D502+D501</f>
        <v>277803499.63999999</v>
      </c>
      <c r="D501" s="200">
        <v>236147019.97999999</v>
      </c>
      <c r="E501" s="42">
        <f>+C501-D501</f>
        <v>41656479.659999996</v>
      </c>
    </row>
    <row r="502" spans="1:5" x14ac:dyDescent="0.25">
      <c r="B502" s="35" t="s">
        <v>248</v>
      </c>
      <c r="C502" s="200">
        <f>+[1]BALANZA!B6</f>
        <v>1485895.3399999999</v>
      </c>
      <c r="D502" s="200">
        <v>0</v>
      </c>
      <c r="E502" s="42">
        <f>+C502-D502</f>
        <v>1485895.3399999999</v>
      </c>
    </row>
    <row r="503" spans="1:5" x14ac:dyDescent="0.25">
      <c r="B503" s="35" t="s">
        <v>249</v>
      </c>
      <c r="C503" s="200">
        <f>+[1]ERF!B35</f>
        <v>25229011.01000002</v>
      </c>
      <c r="D503" s="200">
        <f>+[1]ERF!C30</f>
        <v>41656479.659999967</v>
      </c>
      <c r="E503" s="42">
        <f>+C503-D503</f>
        <v>-16427468.649999946</v>
      </c>
    </row>
    <row r="504" spans="1:5" x14ac:dyDescent="0.25">
      <c r="B504" s="81" t="s">
        <v>250</v>
      </c>
      <c r="C504" s="201">
        <f>SUM(C500:C503)</f>
        <v>1113311460.5899999</v>
      </c>
      <c r="D504" s="201">
        <f>SUM(D500:D503)</f>
        <v>1086596554.24</v>
      </c>
      <c r="E504" s="201">
        <f>SUM(E500:E503)</f>
        <v>26714906.350000054</v>
      </c>
    </row>
    <row r="505" spans="1:5" x14ac:dyDescent="0.25">
      <c r="B505" s="202"/>
      <c r="C505" s="203">
        <f>+C504-'[1]ES F '!B59</f>
        <v>0</v>
      </c>
      <c r="D505" s="203">
        <f>+D504-'[1]ES F '!C59</f>
        <v>0</v>
      </c>
      <c r="E505" s="204"/>
    </row>
    <row r="506" spans="1:5" x14ac:dyDescent="0.25">
      <c r="A506" s="43"/>
      <c r="B506" s="51" t="str">
        <f>("Cambio porcentual con relación al "&amp;$D$144&amp;".")</f>
        <v>Cambio porcentual con relación al 2024.</v>
      </c>
      <c r="C506" s="52"/>
      <c r="D506" s="53" t="str">
        <f>IF(E506&gt;=0,"Aumento","Disminución")</f>
        <v>Aumento</v>
      </c>
      <c r="E506" s="86">
        <f>+E504/D504</f>
        <v>2.4585855942351395E-2</v>
      </c>
    </row>
    <row r="507" spans="1:5" ht="33.75" customHeight="1" x14ac:dyDescent="0.25">
      <c r="B507" s="205" t="s">
        <v>251</v>
      </c>
      <c r="C507" s="205"/>
      <c r="D507" s="205"/>
      <c r="E507" s="205"/>
    </row>
    <row r="508" spans="1:5" x14ac:dyDescent="0.25">
      <c r="B508" s="206"/>
      <c r="C508" s="206"/>
      <c r="D508" s="206"/>
      <c r="E508" s="206"/>
    </row>
    <row r="509" spans="1:5" x14ac:dyDescent="0.25">
      <c r="B509" s="206"/>
      <c r="C509" s="206"/>
      <c r="D509" s="206"/>
      <c r="E509" s="206"/>
    </row>
    <row r="510" spans="1:5" x14ac:dyDescent="0.25">
      <c r="B510" s="206"/>
      <c r="C510" s="206"/>
      <c r="D510" s="206"/>
      <c r="E510" s="206"/>
    </row>
    <row r="511" spans="1:5" x14ac:dyDescent="0.25">
      <c r="B511" s="206"/>
      <c r="C511" s="206"/>
      <c r="D511" s="206"/>
      <c r="E511" s="206"/>
    </row>
    <row r="512" spans="1:5" x14ac:dyDescent="0.25">
      <c r="B512" s="206"/>
      <c r="C512" s="206"/>
      <c r="D512" s="206"/>
      <c r="E512" s="206"/>
    </row>
    <row r="513" spans="2:5" x14ac:dyDescent="0.25">
      <c r="B513" s="206"/>
      <c r="C513" s="206"/>
      <c r="D513" s="206"/>
      <c r="E513" s="206"/>
    </row>
    <row r="514" spans="2:5" x14ac:dyDescent="0.25">
      <c r="B514" s="206"/>
      <c r="C514" s="206"/>
      <c r="D514" s="206"/>
      <c r="E514" s="206"/>
    </row>
    <row r="515" spans="2:5" x14ac:dyDescent="0.25">
      <c r="B515" s="206"/>
      <c r="C515" s="206"/>
      <c r="D515" s="206"/>
      <c r="E515" s="206"/>
    </row>
    <row r="516" spans="2:5" x14ac:dyDescent="0.25">
      <c r="B516" s="206"/>
      <c r="C516" s="206"/>
      <c r="D516" s="206"/>
      <c r="E516" s="206"/>
    </row>
    <row r="517" spans="2:5" x14ac:dyDescent="0.25">
      <c r="B517" s="87"/>
    </row>
    <row r="518" spans="2:5" x14ac:dyDescent="0.25">
      <c r="B518" s="61" t="s">
        <v>244</v>
      </c>
    </row>
    <row r="519" spans="2:5" x14ac:dyDescent="0.25">
      <c r="B519" s="61" t="s">
        <v>252</v>
      </c>
    </row>
    <row r="520" spans="2:5" ht="36" customHeight="1" x14ac:dyDescent="0.25">
      <c r="B520" s="13" t="str">
        <f>("Un detalle del "&amp;B519&amp;" al "&amp;[1]BALANZA!$B$3&amp;" "&amp;[1]BALANZA!$C$3&amp;" es como se detalla a continuación:")</f>
        <v>Un detalle del Ingresos por transacciones con contraprestaciones al 30 de abril del 2025 - 2024 es como se detalla a continuación:</v>
      </c>
      <c r="C520" s="30"/>
      <c r="D520" s="30"/>
      <c r="E520" s="30"/>
    </row>
    <row r="521" spans="2:5" ht="42" customHeight="1" x14ac:dyDescent="0.25">
      <c r="B521" s="197" t="str">
        <f>("Los ingresos recibidos por cobros de  servicios de aguas potable y saneamiento (APS) para en el  "&amp;C524&amp;" es RD$ "&amp;R527&amp;" y del "&amp;D524&amp;" es RD$ "&amp;R528&amp;" :")</f>
        <v>Los ingresos recibidos por cobros de  servicios de aguas potable y saneamiento (APS) para en el  2025 es RD$  y del 2024 es RD$  :</v>
      </c>
      <c r="C521" s="197"/>
      <c r="D521" s="197"/>
      <c r="E521" s="197"/>
    </row>
    <row r="522" spans="2:5" x14ac:dyDescent="0.25">
      <c r="B522" s="207"/>
    </row>
    <row r="523" spans="2:5" x14ac:dyDescent="0.25">
      <c r="B523" s="181"/>
      <c r="C523" s="208" t="s">
        <v>253</v>
      </c>
      <c r="D523" s="208"/>
      <c r="E523" s="209"/>
    </row>
    <row r="524" spans="2:5" x14ac:dyDescent="0.25">
      <c r="B524" s="181" t="s">
        <v>217</v>
      </c>
      <c r="C524" s="210">
        <f>+C187</f>
        <v>2025</v>
      </c>
      <c r="D524" s="210">
        <f>+D187</f>
        <v>2024</v>
      </c>
      <c r="E524" s="182" t="s">
        <v>218</v>
      </c>
    </row>
    <row r="525" spans="2:5" x14ac:dyDescent="0.25">
      <c r="B525" s="150" t="s">
        <v>254</v>
      </c>
      <c r="C525" s="211">
        <f>+'[1]BALANZA G'!C133-C526</f>
        <v>61459763.119999997</v>
      </c>
      <c r="D525" s="136">
        <f>+'[1]BALANZA G'!D133-D526</f>
        <v>180953599.51999998</v>
      </c>
      <c r="E525" s="79">
        <f>+C525-D525</f>
        <v>-119493836.39999998</v>
      </c>
    </row>
    <row r="526" spans="2:5" x14ac:dyDescent="0.25">
      <c r="B526" s="150" t="s">
        <v>255</v>
      </c>
      <c r="C526" s="211">
        <v>0</v>
      </c>
      <c r="D526" s="211">
        <f>1936.06*12</f>
        <v>23232.720000000001</v>
      </c>
      <c r="E526" s="79">
        <f>+C526-D526</f>
        <v>-23232.720000000001</v>
      </c>
    </row>
    <row r="527" spans="2:5" ht="28.5" x14ac:dyDescent="0.25">
      <c r="B527" s="212" t="s">
        <v>256</v>
      </c>
      <c r="C527" s="213">
        <f>SUM(C525:C526)</f>
        <v>61459763.119999997</v>
      </c>
      <c r="D527" s="214">
        <f>SUM(D525:D526)</f>
        <v>180976832.23999998</v>
      </c>
      <c r="E527" s="213">
        <f>SUM(E525:E525)</f>
        <v>-119493836.39999998</v>
      </c>
    </row>
    <row r="528" spans="2:5" x14ac:dyDescent="0.25">
      <c r="B528" s="215"/>
      <c r="C528" s="216">
        <f>+C527-[1]ERF!B11-[1]ERF!B13</f>
        <v>0</v>
      </c>
      <c r="D528" s="217"/>
      <c r="E528" s="218"/>
    </row>
    <row r="529" spans="1:5" x14ac:dyDescent="0.25">
      <c r="A529" s="43"/>
      <c r="B529" s="51" t="str">
        <f>("Cambio porcentual con relación al "&amp;$D$144&amp;".")</f>
        <v>Cambio porcentual con relación al 2024.</v>
      </c>
      <c r="C529" s="52"/>
      <c r="D529" s="53" t="str">
        <f>IF(E529&gt;=0,"Aumento","Disminución")</f>
        <v>Disminución</v>
      </c>
      <c r="E529" s="86">
        <f>+E527/D527</f>
        <v>-0.66027145530724529</v>
      </c>
    </row>
    <row r="530" spans="1:5" x14ac:dyDescent="0.25">
      <c r="B530" s="87"/>
    </row>
    <row r="532" spans="1:5" x14ac:dyDescent="0.25">
      <c r="B532" s="61" t="s">
        <v>257</v>
      </c>
    </row>
    <row r="533" spans="1:5" x14ac:dyDescent="0.25">
      <c r="B533" s="61" t="s">
        <v>258</v>
      </c>
    </row>
    <row r="534" spans="1:5" ht="27" customHeight="1" x14ac:dyDescent="0.25">
      <c r="B534" s="13" t="str">
        <f>("Un detalle de las "&amp;B533&amp;" al "&amp;[1]BALANZA!$B$3&amp;" "&amp;[1]BALANZA!$C$3&amp;" es como se detalla a continuación:")</f>
        <v>Un detalle de las Transferencias y donaciones  al 30 de abril del 2025 - 2024 es como se detalla a continuación:</v>
      </c>
      <c r="C534" s="30"/>
      <c r="D534" s="30"/>
      <c r="E534" s="30"/>
    </row>
    <row r="535" spans="1:5" ht="73.5" customHeight="1" x14ac:dyDescent="0.25">
      <c r="B535" s="197" t="str">
        <f>("Los recursos recibidos por transferencias fueron por los montos según el siguiente detalle:  para el "&amp;C539&amp;" transferencia de para Gasto  Corrientes RD$ "&amp;R540&amp;", para Gasto de  Capital RD$ "&amp;R541&amp;" y para Energia no cortable RD$ "&amp;R542&amp;" y para el "&amp;D539&amp;" Transferencia para Gasto  Corrientes RD$ "&amp;R546&amp;", para Gasto  de Capital RD$ "&amp;R547&amp;" y para Energia no cortable RD$ "&amp;R548&amp;" ")</f>
        <v xml:space="preserve">Los recursos recibidos por transferencias fueron por los montos según el siguiente detalle:  para el 2025 transferencia de para Gasto  Corrientes RD$ , para Gasto de  Capital RD$  y para Energia no cortable RD$  y para el 2024 Transferencia para Gasto  Corrientes RD$ , para Gasto  de Capital RD$  y para Energia no cortable RD$  </v>
      </c>
      <c r="C535" s="197"/>
      <c r="D535" s="197"/>
      <c r="E535" s="197"/>
    </row>
    <row r="536" spans="1:5" ht="52.5" customHeight="1" x14ac:dyDescent="0.25">
      <c r="B536" s="197" t="str">
        <f>("Para el "&amp;D539&amp;" recibimos transferencia fuera del circuito para Gasto  Corrientes RD$ "&amp;R563&amp;" ")</f>
        <v xml:space="preserve">Para el 2024 recibimos transferencia fuera del circuito para Gasto  Corrientes RD$  </v>
      </c>
      <c r="C536" s="197"/>
      <c r="D536" s="197"/>
      <c r="E536" s="197"/>
    </row>
    <row r="537" spans="1:5" x14ac:dyDescent="0.25">
      <c r="B537" s="12"/>
    </row>
    <row r="538" spans="1:5" x14ac:dyDescent="0.25">
      <c r="B538" s="165" t="str">
        <f>+B524</f>
        <v>Cuenta</v>
      </c>
      <c r="C538" s="208" t="s">
        <v>253</v>
      </c>
      <c r="D538" s="208"/>
      <c r="E538" s="209"/>
    </row>
    <row r="539" spans="1:5" x14ac:dyDescent="0.25">
      <c r="B539" s="165" t="s">
        <v>259</v>
      </c>
      <c r="C539" s="210">
        <f>+[1]BALANZA!B4</f>
        <v>2025</v>
      </c>
      <c r="D539" s="210">
        <f>+[1]BALANZA!C4</f>
        <v>2024</v>
      </c>
      <c r="E539" s="182" t="s">
        <v>218</v>
      </c>
    </row>
    <row r="540" spans="1:5" x14ac:dyDescent="0.25">
      <c r="B540" s="150" t="s">
        <v>260</v>
      </c>
      <c r="C540" s="136">
        <f>+'[1]BALANZA G'!C146+'[1]BALANZA G'!C150-C543</f>
        <v>15972668</v>
      </c>
      <c r="D540" s="136">
        <f>+[1]RESULTADO!E10-D541-D542</f>
        <v>165298809</v>
      </c>
      <c r="E540" s="79">
        <f>+C540-D540</f>
        <v>-149326141</v>
      </c>
    </row>
    <row r="541" spans="1:5" x14ac:dyDescent="0.25">
      <c r="B541" s="150" t="s">
        <v>261</v>
      </c>
      <c r="C541" s="219">
        <f>+'[1]BALANZA G'!C151</f>
        <v>33490000</v>
      </c>
      <c r="D541" s="219">
        <v>12714356.039999999</v>
      </c>
      <c r="E541" s="79">
        <f>+C541-D541</f>
        <v>20775643.960000001</v>
      </c>
    </row>
    <row r="542" spans="1:5" ht="30" x14ac:dyDescent="0.25">
      <c r="B542" s="220" t="s">
        <v>262</v>
      </c>
      <c r="C542" s="219">
        <f>+'[1]BALANZA G'!C152</f>
        <v>18514608</v>
      </c>
      <c r="D542" s="219">
        <v>51161468</v>
      </c>
      <c r="E542" s="221">
        <f>+C542-D542</f>
        <v>-32646860</v>
      </c>
    </row>
    <row r="543" spans="1:5" x14ac:dyDescent="0.25">
      <c r="B543" s="220" t="s">
        <v>263</v>
      </c>
      <c r="C543" s="219">
        <v>0</v>
      </c>
      <c r="D543" s="219">
        <v>4235517</v>
      </c>
      <c r="E543" s="221">
        <f>+C543-D543</f>
        <v>-4235517</v>
      </c>
    </row>
    <row r="544" spans="1:5" x14ac:dyDescent="0.25">
      <c r="B544" s="165" t="s">
        <v>264</v>
      </c>
      <c r="C544" s="213">
        <f>SUM(C540:C543)</f>
        <v>67977276</v>
      </c>
      <c r="D544" s="214">
        <f>SUM(D540:D542)</f>
        <v>229174633.03999999</v>
      </c>
      <c r="E544" s="213">
        <f>SUM(E540:E542)</f>
        <v>-161197357.03999999</v>
      </c>
    </row>
    <row r="545" spans="1:5" x14ac:dyDescent="0.25">
      <c r="B545" s="215"/>
      <c r="C545" s="216">
        <f>+C544-[1]ERF!B12</f>
        <v>0</v>
      </c>
      <c r="D545" s="216">
        <f>+D544-[1]ERF!C12</f>
        <v>0</v>
      </c>
      <c r="E545" s="218"/>
    </row>
    <row r="546" spans="1:5" x14ac:dyDescent="0.25">
      <c r="A546" s="43"/>
      <c r="B546" s="51" t="str">
        <f>("Cambio porcentual con relación al "&amp;$D$144&amp;".")</f>
        <v>Cambio porcentual con relación al 2024.</v>
      </c>
      <c r="C546" s="52"/>
      <c r="D546" s="53" t="str">
        <f>IF(E546&gt;=0,"Aumento","Disminución")</f>
        <v>Disminución</v>
      </c>
      <c r="E546" s="86">
        <f>+E544/D544</f>
        <v>-0.70338219767920263</v>
      </c>
    </row>
    <row r="547" spans="1:5" x14ac:dyDescent="0.25">
      <c r="B547" s="12"/>
    </row>
    <row r="548" spans="1:5" x14ac:dyDescent="0.25">
      <c r="B548" s="24" t="e">
        <f>("Nota: CORAAMOCA tiene un presupuesto aprobado para el "&amp;C539&amp;" por un valor de RD$ "&amp;#REF!&amp;" ")</f>
        <v>#REF!</v>
      </c>
      <c r="C548" s="24"/>
      <c r="D548" s="24"/>
      <c r="E548" s="24"/>
    </row>
    <row r="549" spans="1:5" ht="54" customHeight="1" x14ac:dyDescent="0.25">
      <c r="B549" s="24" t="str">
        <f>("El cual  recibirá mediante asignación de fondos del Gobierno Central,  para gastos corriente RD$ "&amp;R549&amp;" , para Gasto de capital RD$ "&amp;R565&amp;" y para  Energia Electrica de  RD$ "&amp;R563&amp;" y la Institución ingresará por ventas de servicios agua y saneamiento  un monto de RD$ "&amp;R566&amp;".")</f>
        <v>El cual  recibirá mediante asignación de fondos del Gobierno Central,  para gastos corriente RD$  , para Gasto de capital RD$  y para  Energia Electrica de  RD$  y la Institución ingresará por ventas de servicios agua y saneamiento  un monto de RD$ .</v>
      </c>
      <c r="C549" s="24"/>
      <c r="D549" s="24"/>
      <c r="E549" s="24"/>
    </row>
    <row r="550" spans="1:5" x14ac:dyDescent="0.25">
      <c r="B550" s="268"/>
      <c r="C550" s="268"/>
      <c r="D550" s="268"/>
      <c r="E550" s="268"/>
    </row>
    <row r="551" spans="1:5" x14ac:dyDescent="0.25">
      <c r="B551" s="268"/>
      <c r="C551" s="268"/>
      <c r="D551" s="268"/>
      <c r="E551" s="268"/>
    </row>
    <row r="552" spans="1:5" x14ac:dyDescent="0.25">
      <c r="B552" s="268"/>
      <c r="C552" s="268"/>
      <c r="D552" s="268"/>
      <c r="E552" s="268"/>
    </row>
    <row r="553" spans="1:5" x14ac:dyDescent="0.25">
      <c r="B553" s="268"/>
      <c r="C553" s="268"/>
      <c r="D553" s="268"/>
      <c r="E553" s="268"/>
    </row>
    <row r="554" spans="1:5" x14ac:dyDescent="0.25">
      <c r="B554" s="268"/>
      <c r="C554" s="268"/>
      <c r="D554" s="268"/>
      <c r="E554" s="268"/>
    </row>
    <row r="555" spans="1:5" x14ac:dyDescent="0.25">
      <c r="B555" s="268"/>
      <c r="C555" s="268"/>
      <c r="D555" s="268"/>
      <c r="E555" s="268"/>
    </row>
    <row r="556" spans="1:5" x14ac:dyDescent="0.25">
      <c r="B556" s="268"/>
      <c r="C556" s="268"/>
      <c r="D556" s="268"/>
      <c r="E556" s="268"/>
    </row>
    <row r="557" spans="1:5" x14ac:dyDescent="0.25">
      <c r="B557" s="268"/>
      <c r="C557" s="268"/>
      <c r="D557" s="268"/>
      <c r="E557" s="268"/>
    </row>
    <row r="558" spans="1:5" x14ac:dyDescent="0.25">
      <c r="B558" s="268"/>
      <c r="C558" s="268"/>
      <c r="D558" s="268"/>
      <c r="E558" s="268"/>
    </row>
    <row r="559" spans="1:5" x14ac:dyDescent="0.25">
      <c r="B559" s="268"/>
      <c r="C559" s="268"/>
      <c r="D559" s="268"/>
      <c r="E559" s="268"/>
    </row>
    <row r="560" spans="1:5" x14ac:dyDescent="0.25">
      <c r="B560" s="268"/>
      <c r="C560" s="268"/>
      <c r="D560" s="268"/>
      <c r="E560" s="268"/>
    </row>
    <row r="561" spans="2:5" x14ac:dyDescent="0.25">
      <c r="B561" s="268"/>
      <c r="C561" s="268"/>
      <c r="D561" s="268"/>
      <c r="E561" s="268"/>
    </row>
    <row r="562" spans="2:5" x14ac:dyDescent="0.25">
      <c r="B562" s="268"/>
      <c r="C562" s="268"/>
      <c r="D562" s="268"/>
      <c r="E562" s="268"/>
    </row>
    <row r="563" spans="2:5" x14ac:dyDescent="0.25">
      <c r="B563" s="20"/>
      <c r="C563" s="20"/>
      <c r="D563" s="20"/>
      <c r="E563" s="20"/>
    </row>
    <row r="564" spans="2:5" x14ac:dyDescent="0.25">
      <c r="B564" s="20"/>
      <c r="C564" s="20"/>
      <c r="D564" s="20"/>
      <c r="E564" s="20"/>
    </row>
    <row r="565" spans="2:5" x14ac:dyDescent="0.25">
      <c r="B565" s="20"/>
      <c r="C565" s="20"/>
      <c r="D565" s="20"/>
      <c r="E565" s="20"/>
    </row>
    <row r="566" spans="2:5" x14ac:dyDescent="0.25">
      <c r="B566" s="20"/>
      <c r="C566" s="20"/>
      <c r="D566" s="20"/>
      <c r="E566" s="20"/>
    </row>
    <row r="567" spans="2:5" x14ac:dyDescent="0.25">
      <c r="B567" s="20"/>
      <c r="C567" s="20"/>
      <c r="D567" s="20"/>
      <c r="E567" s="20"/>
    </row>
    <row r="568" spans="2:5" x14ac:dyDescent="0.25">
      <c r="B568" s="20"/>
      <c r="C568" s="20"/>
      <c r="D568" s="20"/>
      <c r="E568" s="20"/>
    </row>
    <row r="569" spans="2:5" ht="28.5" x14ac:dyDescent="0.25">
      <c r="B569" s="165" t="s">
        <v>259</v>
      </c>
      <c r="C569" s="222" t="s">
        <v>265</v>
      </c>
      <c r="D569" s="222" t="s">
        <v>246</v>
      </c>
      <c r="E569" s="222" t="s">
        <v>266</v>
      </c>
    </row>
    <row r="570" spans="2:5" x14ac:dyDescent="0.25">
      <c r="B570" s="62" t="s">
        <v>267</v>
      </c>
      <c r="C570" s="223">
        <f>+'[1]19'!$D$25</f>
        <v>3993167</v>
      </c>
      <c r="D570" s="223">
        <f>+'[1]19'!$D$26</f>
        <v>0</v>
      </c>
      <c r="E570" s="223">
        <f>+'[1]19'!$D$27</f>
        <v>4628652</v>
      </c>
    </row>
    <row r="571" spans="2:5" x14ac:dyDescent="0.25">
      <c r="B571" s="62" t="s">
        <v>268</v>
      </c>
      <c r="C571" s="223">
        <f>+'[1]19'!$E$25</f>
        <v>3993167</v>
      </c>
      <c r="D571" s="223">
        <f>+'[1]19'!$E$26</f>
        <v>8372500</v>
      </c>
      <c r="E571" s="223">
        <f>+'[1]19'!$E$27</f>
        <v>4628652</v>
      </c>
    </row>
    <row r="572" spans="2:5" x14ac:dyDescent="0.25">
      <c r="B572" s="62" t="s">
        <v>269</v>
      </c>
      <c r="C572" s="223">
        <f>+'[1]19'!$F$25</f>
        <v>3993167</v>
      </c>
      <c r="D572" s="223">
        <f>+'[1]19'!$F$26</f>
        <v>0</v>
      </c>
      <c r="E572" s="223">
        <f>+'[1]19'!$F$27</f>
        <v>4628652</v>
      </c>
    </row>
    <row r="573" spans="2:5" x14ac:dyDescent="0.25">
      <c r="B573" s="62" t="s">
        <v>270</v>
      </c>
      <c r="C573" s="223">
        <f>+'[1]19'!$G$25</f>
        <v>3993167</v>
      </c>
      <c r="D573" s="223">
        <f>+'[1]19'!$G$26</f>
        <v>25117500</v>
      </c>
      <c r="E573" s="223">
        <f>+'[1]19'!$G$27</f>
        <v>4628652</v>
      </c>
    </row>
    <row r="574" spans="2:5" x14ac:dyDescent="0.25">
      <c r="B574" s="62" t="s">
        <v>271</v>
      </c>
      <c r="C574" s="223">
        <f>+'[1]19'!$H$25</f>
        <v>0</v>
      </c>
      <c r="D574" s="223">
        <f>+'[1]19'!$H$26</f>
        <v>0</v>
      </c>
      <c r="E574" s="223">
        <f>+'[1]19'!$H$27</f>
        <v>0</v>
      </c>
    </row>
    <row r="575" spans="2:5" x14ac:dyDescent="0.25">
      <c r="B575" s="62" t="s">
        <v>272</v>
      </c>
      <c r="C575" s="223">
        <f>+'[1]19'!$I$25</f>
        <v>0</v>
      </c>
      <c r="D575" s="223">
        <f>+'[1]19'!$I$26</f>
        <v>0</v>
      </c>
      <c r="E575" s="223">
        <f>+'[1]19'!$I$27</f>
        <v>0</v>
      </c>
    </row>
    <row r="576" spans="2:5" x14ac:dyDescent="0.25">
      <c r="B576" s="62" t="s">
        <v>273</v>
      </c>
      <c r="C576" s="223">
        <f>+'[1]19'!$J$25</f>
        <v>0</v>
      </c>
      <c r="D576" s="223">
        <f>+'[1]19'!$J$26</f>
        <v>0</v>
      </c>
      <c r="E576" s="223">
        <f>+'[1]19'!$J$27</f>
        <v>0</v>
      </c>
    </row>
    <row r="577" spans="2:5" x14ac:dyDescent="0.25">
      <c r="B577" s="62" t="s">
        <v>274</v>
      </c>
      <c r="C577" s="223">
        <f>+'[1]19'!$K$25</f>
        <v>0</v>
      </c>
      <c r="D577" s="223">
        <f>+'[1]19'!$K$26</f>
        <v>0</v>
      </c>
      <c r="E577" s="223">
        <f>+'[1]19'!$K$27</f>
        <v>0</v>
      </c>
    </row>
    <row r="578" spans="2:5" x14ac:dyDescent="0.25">
      <c r="B578" s="62" t="s">
        <v>275</v>
      </c>
      <c r="C578" s="223">
        <f>+'[1]19'!$L$25</f>
        <v>0</v>
      </c>
      <c r="D578" s="223">
        <f>+'[1]19'!$L$26</f>
        <v>0</v>
      </c>
      <c r="E578" s="223">
        <f>+'[1]19'!$L$27</f>
        <v>0</v>
      </c>
    </row>
    <row r="579" spans="2:5" x14ac:dyDescent="0.25">
      <c r="B579" s="62" t="s">
        <v>276</v>
      </c>
      <c r="C579" s="223">
        <f>+'[1]19'!$M$25</f>
        <v>0</v>
      </c>
      <c r="D579" s="223">
        <f>+'[1]19'!$M$26</f>
        <v>0</v>
      </c>
      <c r="E579" s="223">
        <f>+'[1]19'!$M$27</f>
        <v>0</v>
      </c>
    </row>
    <row r="580" spans="2:5" x14ac:dyDescent="0.25">
      <c r="B580" s="62" t="s">
        <v>277</v>
      </c>
      <c r="C580" s="223">
        <f>+'[1]19'!$N$25</f>
        <v>0</v>
      </c>
      <c r="D580" s="223">
        <f>+'[1]19'!$N$26</f>
        <v>0</v>
      </c>
      <c r="E580" s="223">
        <f>+'[1]19'!$N$27</f>
        <v>0</v>
      </c>
    </row>
    <row r="581" spans="2:5" x14ac:dyDescent="0.25">
      <c r="B581" s="62" t="s">
        <v>278</v>
      </c>
      <c r="C581" s="223">
        <f>+'[1]19'!$O$25</f>
        <v>0</v>
      </c>
      <c r="D581" s="223">
        <f>+'[1]19'!$O$26</f>
        <v>0</v>
      </c>
      <c r="E581" s="223">
        <f>+'[1]19'!$O$27</f>
        <v>0</v>
      </c>
    </row>
    <row r="582" spans="2:5" x14ac:dyDescent="0.25">
      <c r="B582" s="224" t="s">
        <v>212</v>
      </c>
      <c r="C582" s="225">
        <f>SUM(C570:C581)</f>
        <v>15972668</v>
      </c>
      <c r="D582" s="225">
        <f>SUM(D570:D581)</f>
        <v>33490000</v>
      </c>
      <c r="E582" s="225">
        <f>SUM(E570:E581)</f>
        <v>18514608</v>
      </c>
    </row>
    <row r="583" spans="2:5" x14ac:dyDescent="0.25">
      <c r="B583" s="226"/>
      <c r="C583" s="227"/>
      <c r="D583" s="227"/>
      <c r="E583" s="227"/>
    </row>
    <row r="584" spans="2:5" x14ac:dyDescent="0.25">
      <c r="B584" s="226" t="s">
        <v>279</v>
      </c>
      <c r="C584" s="227">
        <f>+C582+E582</f>
        <v>34487276</v>
      </c>
      <c r="D584" s="227"/>
      <c r="E584" s="227"/>
    </row>
    <row r="585" spans="2:5" x14ac:dyDescent="0.25">
      <c r="B585" s="226" t="s">
        <v>280</v>
      </c>
      <c r="C585" s="227">
        <f>+D582</f>
        <v>33490000</v>
      </c>
      <c r="D585" s="227"/>
      <c r="E585" s="227"/>
    </row>
    <row r="586" spans="2:5" x14ac:dyDescent="0.25">
      <c r="B586" s="20"/>
      <c r="C586" s="20"/>
      <c r="D586" s="20"/>
      <c r="E586" s="20"/>
    </row>
    <row r="587" spans="2:5" x14ac:dyDescent="0.25">
      <c r="B587" s="24" t="s">
        <v>281</v>
      </c>
      <c r="C587" s="24"/>
      <c r="D587" s="24"/>
      <c r="E587" s="24"/>
    </row>
    <row r="588" spans="2:5" x14ac:dyDescent="0.25">
      <c r="B588" s="20"/>
      <c r="C588" s="20"/>
      <c r="D588" s="20"/>
      <c r="E588" s="20"/>
    </row>
    <row r="589" spans="2:5" x14ac:dyDescent="0.25">
      <c r="B589" s="61" t="s">
        <v>282</v>
      </c>
      <c r="C589" s="228"/>
    </row>
    <row r="590" spans="2:5" x14ac:dyDescent="0.25">
      <c r="B590" s="61" t="s">
        <v>283</v>
      </c>
    </row>
    <row r="591" spans="2:5" ht="37.5" customHeight="1" x14ac:dyDescent="0.25">
      <c r="B591" s="13" t="str">
        <f>("Un detalle de los "&amp;B590&amp;" al "&amp;[1]BALANZA!$B$3&amp;" "&amp;[1]BALANZA!$C$3&amp;" es como se detalla a continuación:")</f>
        <v>Un detalle de los Sueldos, Salarios y beneficios a empleados al 30 de abril del 2025 - 2024 es como se detalla a continuación:</v>
      </c>
      <c r="C591" s="30"/>
      <c r="D591" s="30"/>
      <c r="E591" s="30"/>
    </row>
    <row r="592" spans="2:5" x14ac:dyDescent="0.25">
      <c r="B592" s="197"/>
      <c r="C592" s="19"/>
      <c r="D592" s="19"/>
      <c r="E592" s="19"/>
    </row>
    <row r="593" spans="1:5" x14ac:dyDescent="0.25">
      <c r="B593" s="165" t="str">
        <f>+B524</f>
        <v>Cuenta</v>
      </c>
      <c r="C593" s="166">
        <f>+[1]BALANZA!B4</f>
        <v>2025</v>
      </c>
      <c r="D593" s="166">
        <f>+[1]BALANZA!C4</f>
        <v>2024</v>
      </c>
      <c r="E593" s="182" t="s">
        <v>218</v>
      </c>
    </row>
    <row r="594" spans="1:5" x14ac:dyDescent="0.25">
      <c r="B594" s="229" t="s">
        <v>284</v>
      </c>
      <c r="C594" s="230">
        <f>+'[1]BALANZA G'!C159</f>
        <v>47933676</v>
      </c>
      <c r="D594" s="230">
        <f>+'[1]BALANZA G'!D159</f>
        <v>147133178</v>
      </c>
      <c r="E594" s="42">
        <f t="shared" ref="E594:E599" si="3">+C594-D594</f>
        <v>-99199502</v>
      </c>
    </row>
    <row r="595" spans="1:5" x14ac:dyDescent="0.25">
      <c r="B595" s="229" t="s">
        <v>285</v>
      </c>
      <c r="C595" s="230">
        <f>+'[1]BALANZA G'!C161+'[1]BALANZA G'!C162+'[1]BALANZA G'!C163+'[1]BALANZA G'!C164+'[1]BALANZA G'!C160</f>
        <v>0</v>
      </c>
      <c r="D595" s="230">
        <f>+'[1]BALANZA G'!D161+'[1]BALANZA G'!D162+'[1]BALANZA G'!D163+'[1]BALANZA G'!D164+'[1]BALANZA G'!D160</f>
        <v>0</v>
      </c>
      <c r="E595" s="42">
        <f t="shared" si="3"/>
        <v>0</v>
      </c>
    </row>
    <row r="596" spans="1:5" ht="45" x14ac:dyDescent="0.25">
      <c r="B596" s="229" t="s">
        <v>286</v>
      </c>
      <c r="C596" s="230">
        <f>+'[1]BALANZA G'!C167+'[1]BALANZA G'!C168+'[1]BALANZA G'!C165+'[1]BALANZA G'!C169+'[1]BALANZA G'!C171+'[1]BALANZA G'!C166</f>
        <v>6854491.2799999993</v>
      </c>
      <c r="D596" s="230">
        <f>+'[1]BALANZA G'!D165+'[1]BALANZA G'!D167+'[1]BALANZA G'!D168+'[1]BALANZA G'!D169+'[1]BALANZA G'!D171+'[1]BALANZA G'!D166</f>
        <v>8257005.8200000003</v>
      </c>
      <c r="E596" s="42">
        <f t="shared" si="3"/>
        <v>-1402514.540000001</v>
      </c>
    </row>
    <row r="597" spans="1:5" x14ac:dyDescent="0.25">
      <c r="B597" s="229" t="s">
        <v>287</v>
      </c>
      <c r="C597" s="230">
        <f>+'[1]BALANZA G'!C173</f>
        <v>0</v>
      </c>
      <c r="D597" s="230">
        <f>+'[1]BALANZA G'!D173</f>
        <v>0</v>
      </c>
      <c r="E597" s="42">
        <f t="shared" si="3"/>
        <v>0</v>
      </c>
    </row>
    <row r="598" spans="1:5" x14ac:dyDescent="0.25">
      <c r="B598" s="229" t="s">
        <v>288</v>
      </c>
      <c r="C598" s="230">
        <f>+'[1]BALANZA G'!C174+'[1]BALANZA G'!C175+'[1]BALANZA G'!C176+'[1]BALANZA G'!C178</f>
        <v>645000</v>
      </c>
      <c r="D598" s="230">
        <f>+'[1]BALANZA G'!D174+'[1]BALANZA G'!D175+'[1]BALANZA G'!D176+'[1]BALANZA G'!D178</f>
        <v>2970000</v>
      </c>
      <c r="E598" s="42">
        <f t="shared" si="3"/>
        <v>-2325000</v>
      </c>
    </row>
    <row r="599" spans="1:5" x14ac:dyDescent="0.25">
      <c r="B599" s="229" t="s">
        <v>289</v>
      </c>
      <c r="C599" s="230">
        <f>+'[1]BALANZA G'!C179+'[1]BALANZA G'!C181+'[1]BALANZA G'!C178+'[1]BALANZA G'!C180+'[1]BALANZA G'!C177+'[1]BALANZA G'!C170</f>
        <v>8250</v>
      </c>
      <c r="D599" s="230">
        <f>+'[1]BALANZA G'!D178+'[1]BALANZA G'!D179+'[1]BALANZA G'!D180+'[1]BALANZA G'!D181+'[1]BALANZA G'!D177+'[1]BALANZA G'!D170</f>
        <v>12210081.5</v>
      </c>
      <c r="E599" s="42">
        <f t="shared" si="3"/>
        <v>-12201831.5</v>
      </c>
    </row>
    <row r="600" spans="1:5" x14ac:dyDescent="0.25">
      <c r="B600" s="229" t="s">
        <v>290</v>
      </c>
      <c r="C600" s="230">
        <f>+'[1]BALANZA G'!C299</f>
        <v>1525455.69</v>
      </c>
      <c r="D600" s="230">
        <f>+'[1]BALANZA G'!D299</f>
        <v>1193947.54</v>
      </c>
      <c r="E600" s="42">
        <f>+C600-D600</f>
        <v>331508.14999999991</v>
      </c>
    </row>
    <row r="601" spans="1:5" x14ac:dyDescent="0.25">
      <c r="B601" s="229" t="s">
        <v>291</v>
      </c>
      <c r="C601" s="230">
        <f>+'[1]BALANZA G'!C184</f>
        <v>3397314.1</v>
      </c>
      <c r="D601" s="230">
        <f>+'[1]BALANZA G'!D184</f>
        <v>10463761.68</v>
      </c>
      <c r="E601" s="42">
        <f>+C601-D601</f>
        <v>-7066447.5800000001</v>
      </c>
    </row>
    <row r="602" spans="1:5" x14ac:dyDescent="0.25">
      <c r="B602" s="229" t="s">
        <v>292</v>
      </c>
      <c r="C602" s="230">
        <f>+'[1]BALANZA G'!C185</f>
        <v>3403481.37</v>
      </c>
      <c r="D602" s="230">
        <f>+'[1]BALANZA G'!D185</f>
        <v>9101205.8599999994</v>
      </c>
      <c r="E602" s="42">
        <f>+C602-D602</f>
        <v>-5697724.4899999993</v>
      </c>
    </row>
    <row r="603" spans="1:5" x14ac:dyDescent="0.25">
      <c r="B603" s="229" t="s">
        <v>293</v>
      </c>
      <c r="C603" s="230">
        <f>+'[1]BALANZA G'!C186</f>
        <v>569454.16</v>
      </c>
      <c r="D603" s="230">
        <f>+'[1]BALANZA G'!D186</f>
        <v>3131774.53</v>
      </c>
      <c r="E603" s="42">
        <f>+C603-D603</f>
        <v>-2562320.3699999996</v>
      </c>
    </row>
    <row r="604" spans="1:5" ht="28.5" x14ac:dyDescent="0.25">
      <c r="B604" s="231" t="s">
        <v>294</v>
      </c>
      <c r="C604" s="115">
        <f>SUM(C594:C603)</f>
        <v>64337122.599999994</v>
      </c>
      <c r="D604" s="184">
        <f>SUM(D594:D603)</f>
        <v>194460954.92999998</v>
      </c>
      <c r="E604" s="232">
        <f>SUM(E594:E603)</f>
        <v>-130123832.33</v>
      </c>
    </row>
    <row r="605" spans="1:5" x14ac:dyDescent="0.25">
      <c r="B605" s="10"/>
      <c r="C605" s="233">
        <f>+C604-[1]ERF!B17</f>
        <v>0</v>
      </c>
    </row>
    <row r="606" spans="1:5" x14ac:dyDescent="0.25">
      <c r="A606" s="43"/>
      <c r="B606" s="51" t="str">
        <f>("Cambio porcentual con relación al "&amp;$D$144&amp;".")</f>
        <v>Cambio porcentual con relación al 2024.</v>
      </c>
      <c r="C606" s="52"/>
      <c r="D606" s="234" t="str">
        <f>IF(E606&gt;=0,"Aumento","Disminución")</f>
        <v>Aumento</v>
      </c>
      <c r="E606" s="235">
        <f>+C604/D604</f>
        <v>0.33084853781140489</v>
      </c>
    </row>
    <row r="607" spans="1:5" x14ac:dyDescent="0.25">
      <c r="B607" s="10"/>
    </row>
    <row r="608" spans="1:5" x14ac:dyDescent="0.25">
      <c r="B608" s="10"/>
    </row>
    <row r="609" spans="2:5" x14ac:dyDescent="0.25">
      <c r="B609" s="10"/>
    </row>
    <row r="610" spans="2:5" x14ac:dyDescent="0.25">
      <c r="B610" s="10"/>
    </row>
    <row r="611" spans="2:5" x14ac:dyDescent="0.25">
      <c r="B611" s="10"/>
    </row>
    <row r="612" spans="2:5" x14ac:dyDescent="0.25">
      <c r="B612" s="10"/>
    </row>
    <row r="613" spans="2:5" x14ac:dyDescent="0.25">
      <c r="B613" s="10"/>
    </row>
    <row r="614" spans="2:5" x14ac:dyDescent="0.25">
      <c r="B614" s="10"/>
    </row>
    <row r="615" spans="2:5" x14ac:dyDescent="0.25">
      <c r="B615" s="10"/>
    </row>
    <row r="616" spans="2:5" x14ac:dyDescent="0.25">
      <c r="B616" s="10"/>
    </row>
    <row r="617" spans="2:5" x14ac:dyDescent="0.25">
      <c r="B617" s="61" t="s">
        <v>295</v>
      </c>
    </row>
    <row r="618" spans="2:5" x14ac:dyDescent="0.25">
      <c r="B618" s="61" t="s">
        <v>296</v>
      </c>
    </row>
    <row r="619" spans="2:5" ht="48.75" customHeight="1" x14ac:dyDescent="0.25">
      <c r="B619" s="13" t="str">
        <f>("Un detalle de  "&amp;B618&amp;" al "&amp;[1]BALANZA!$B$3&amp;" "&amp;[1]BALANZA!$C$3&amp;" es como se detalla a continuación:")</f>
        <v>Un detalle de  Subvenciones y otros pagos por transferencias al 30 de abril del 2025 - 2024 es como se detalla a continuación:</v>
      </c>
      <c r="C619" s="30"/>
      <c r="D619" s="30"/>
      <c r="E619" s="30"/>
    </row>
    <row r="620" spans="2:5" x14ac:dyDescent="0.25">
      <c r="B620" s="12"/>
    </row>
    <row r="621" spans="2:5" x14ac:dyDescent="0.25">
      <c r="B621" s="165" t="s">
        <v>297</v>
      </c>
      <c r="C621" s="166">
        <f>+C633</f>
        <v>2025</v>
      </c>
      <c r="D621" s="166">
        <f>+D633</f>
        <v>2024</v>
      </c>
      <c r="E621" s="194" t="s">
        <v>218</v>
      </c>
    </row>
    <row r="622" spans="2:5" x14ac:dyDescent="0.25">
      <c r="B622" s="236" t="s">
        <v>298</v>
      </c>
      <c r="C622" s="109">
        <f>+'[1]BALANZA G'!C300</f>
        <v>30000</v>
      </c>
      <c r="D622" s="230">
        <f>+'[1]BALANZA G'!D300+'[1]BALANZA G'!D301</f>
        <v>0</v>
      </c>
      <c r="E622" s="79">
        <f>+C622-D622</f>
        <v>30000</v>
      </c>
    </row>
    <row r="623" spans="2:5" x14ac:dyDescent="0.25">
      <c r="B623" s="237"/>
      <c r="C623" s="238"/>
      <c r="D623" s="239"/>
      <c r="E623" s="240"/>
    </row>
    <row r="624" spans="2:5" ht="28.5" x14ac:dyDescent="0.25">
      <c r="B624" s="231" t="s">
        <v>299</v>
      </c>
      <c r="C624" s="115">
        <f>SUM(C622+C623)</f>
        <v>30000</v>
      </c>
      <c r="D624" s="184">
        <f>SUM(D622)</f>
        <v>0</v>
      </c>
      <c r="E624" s="241">
        <f>+C624-D624</f>
        <v>30000</v>
      </c>
    </row>
    <row r="625" spans="1:5" x14ac:dyDescent="0.25">
      <c r="B625" s="103"/>
      <c r="C625" s="233">
        <f>+C624-[1]ERF!B18</f>
        <v>0</v>
      </c>
    </row>
    <row r="626" spans="1:5" x14ac:dyDescent="0.25">
      <c r="A626" s="43"/>
      <c r="B626" s="51" t="str">
        <f>("Cambio porcentual con relación al "&amp;$D$144&amp;".")</f>
        <v>Cambio porcentual con relación al 2024.</v>
      </c>
      <c r="C626" s="52"/>
      <c r="D626" s="53">
        <v>0</v>
      </c>
      <c r="E626" s="86">
        <v>0</v>
      </c>
    </row>
    <row r="627" spans="1:5" x14ac:dyDescent="0.25">
      <c r="A627" s="43"/>
      <c r="B627" s="58"/>
      <c r="C627" s="58"/>
      <c r="D627" s="56"/>
      <c r="E627" s="59"/>
    </row>
    <row r="628" spans="1:5" x14ac:dyDescent="0.25">
      <c r="A628" s="43"/>
      <c r="B628" s="58"/>
      <c r="C628" s="58"/>
      <c r="D628" s="56"/>
      <c r="E628" s="59"/>
    </row>
    <row r="629" spans="1:5" x14ac:dyDescent="0.25">
      <c r="B629" s="61" t="s">
        <v>300</v>
      </c>
    </row>
    <row r="630" spans="1:5" x14ac:dyDescent="0.25">
      <c r="B630" s="61" t="s">
        <v>301</v>
      </c>
    </row>
    <row r="631" spans="1:5" ht="52.5" customHeight="1" x14ac:dyDescent="0.25">
      <c r="B631" s="13" t="str">
        <f>("Un detalle del "&amp;B630&amp;" al "&amp;[1]BALANZA!$B$3&amp;" "&amp;[1]BALANZA!$C$3&amp;" es como se detalla a continuación:")</f>
        <v>Un detalle del Suministro y materiales para consumo al 30 de abril del 2025 - 2024 es como se detalla a continuación:</v>
      </c>
      <c r="C631" s="30"/>
      <c r="D631" s="30"/>
      <c r="E631" s="30"/>
    </row>
    <row r="632" spans="1:5" x14ac:dyDescent="0.25">
      <c r="B632" s="12"/>
    </row>
    <row r="633" spans="1:5" x14ac:dyDescent="0.25">
      <c r="B633" s="165" t="s">
        <v>297</v>
      </c>
      <c r="C633" s="166">
        <f>+[1]BALANZA!B4</f>
        <v>2025</v>
      </c>
      <c r="D633" s="166">
        <f>+[1]BALANZA!C4</f>
        <v>2024</v>
      </c>
      <c r="E633" s="194" t="s">
        <v>218</v>
      </c>
    </row>
    <row r="634" spans="1:5" x14ac:dyDescent="0.25">
      <c r="B634" s="150" t="s">
        <v>302</v>
      </c>
      <c r="C634" s="242">
        <f>+'[1]BALANZA G'!C253+'[1]BALANZA G'!C255+'[1]BALANZA G'!C254+'[1]BALANZA G'!C290</f>
        <v>1576776.08</v>
      </c>
      <c r="D634" s="242">
        <f>+'[1]BALANZA G'!D253+'[1]BALANZA G'!D255+'[1]BALANZA G'!D254+'[1]BALANZA G'!D290</f>
        <v>866355.16</v>
      </c>
      <c r="E634" s="79">
        <f t="shared" ref="E634:E640" si="4">+C634-D634</f>
        <v>710420.92</v>
      </c>
    </row>
    <row r="635" spans="1:5" x14ac:dyDescent="0.25">
      <c r="B635" s="150" t="s">
        <v>303</v>
      </c>
      <c r="C635" s="242">
        <f>+'[1]BALANZA G'!C256+'[1]BALANZA G'!C257+'[1]BALANZA G'!C258</f>
        <v>0</v>
      </c>
      <c r="D635" s="36">
        <f>+'[1]BALANZA G'!D256+'[1]BALANZA G'!D257+'[1]BALANZA G'!D258</f>
        <v>0</v>
      </c>
      <c r="E635" s="79">
        <f t="shared" si="4"/>
        <v>0</v>
      </c>
    </row>
    <row r="636" spans="1:5" x14ac:dyDescent="0.25">
      <c r="B636" s="150" t="s">
        <v>304</v>
      </c>
      <c r="C636" s="242">
        <f>+'[1]BALANZA G'!C259+'[1]BALANZA G'!C260+'[1]BALANZA G'!C261</f>
        <v>36728.28</v>
      </c>
      <c r="D636" s="36">
        <f>+'[1]BALANZA G'!D259+'[1]BALANZA G'!D260+'[1]BALANZA G'!D261</f>
        <v>480383.55</v>
      </c>
      <c r="E636" s="79">
        <f t="shared" si="4"/>
        <v>-443655.27</v>
      </c>
    </row>
    <row r="637" spans="1:5" x14ac:dyDescent="0.25">
      <c r="B637" s="150" t="s">
        <v>305</v>
      </c>
      <c r="C637" s="242">
        <f>+'[1]BALANZA G'!C263+'[1]BALANZA G'!C265+'[1]BALANZA G'!C269+'[1]BALANZA G'!C264</f>
        <v>2656755</v>
      </c>
      <c r="D637" s="36">
        <f>+'[1]BALANZA G'!D263+'[1]BALANZA G'!D265+'[1]BALANZA G'!D269+'[1]BALANZA G'!D264</f>
        <v>8347130</v>
      </c>
      <c r="E637" s="79">
        <f t="shared" si="4"/>
        <v>-5690375</v>
      </c>
    </row>
    <row r="638" spans="1:5" x14ac:dyDescent="0.25">
      <c r="B638" s="150" t="s">
        <v>306</v>
      </c>
      <c r="C638" s="242">
        <f>+'[1]BALANZA G'!C266+'[1]BALANZA G'!C270+'[1]BALANZA G'!C268+'[1]BALANZA G'!C267+'[1]BALANZA G'!C272</f>
        <v>199950</v>
      </c>
      <c r="D638" s="242">
        <f>+'[1]BALANZA G'!D266+'[1]BALANZA G'!D270+'[1]BALANZA G'!D268+'[1]BALANZA G'!D267+'[1]BALANZA G'!D272</f>
        <v>4435677.3899999997</v>
      </c>
      <c r="E638" s="79">
        <f t="shared" si="4"/>
        <v>-4235727.3899999997</v>
      </c>
    </row>
    <row r="639" spans="1:5" x14ac:dyDescent="0.25">
      <c r="B639" s="150" t="s">
        <v>307</v>
      </c>
      <c r="C639" s="242">
        <f>+'[1]BALANZA G'!C273+'[1]BALANZA G'!C274+'[1]BALANZA G'!C275+'[1]BALANZA G'!C276+'[1]BALANZA G'!C277+'[1]BALANZA G'!C278+'[1]BALANZA G'!C295+'[1]BALANZA G'!C285+'[1]BALANZA G'!C286+'[1]BALANZA G'!C283+'[1]BALANZA G'!C284+'[1]BALANZA G'!C280+'[1]BALANZA G'!C281+'[1]BALANZA G'!C282+'[1]BALANZA G'!C287+'[1]BALANZA G'!C288+'[1]BALANZA G'!C289+'[1]BALANZA G'!C291+'[1]BALANZA G'!C293+'[1]BALANZA G'!C292+'[1]BALANZA G'!C279+'[1]BALANZA G'!C235</f>
        <v>2240541.5300000003</v>
      </c>
      <c r="D639" s="242">
        <f>+'[1]BALANZA G'!D273+'[1]BALANZA G'!D274+'[1]BALANZA G'!D275+'[1]BALANZA G'!D276+'[1]BALANZA G'!D277+'[1]BALANZA G'!D278+'[1]BALANZA G'!D295+'[1]BALANZA G'!D285+'[1]BALANZA G'!D286+'[1]BALANZA G'!D283+'[1]BALANZA G'!D284+'[1]BALANZA G'!D280+'[1]BALANZA G'!D281+'[1]BALANZA G'!D282+'[1]BALANZA G'!D287+'[1]BALANZA G'!D288+'[1]BALANZA G'!D289+'[1]BALANZA G'!D291+'[1]BALANZA G'!D293+'[1]BALANZA G'!D292+'[1]BALANZA G'!D279+'[1]BALANZA G'!D235</f>
        <v>12024201.759999998</v>
      </c>
      <c r="E639" s="79">
        <f t="shared" si="4"/>
        <v>-9783660.2299999967</v>
      </c>
    </row>
    <row r="640" spans="1:5" x14ac:dyDescent="0.25">
      <c r="B640" s="150" t="s">
        <v>308</v>
      </c>
      <c r="C640" s="242">
        <f>+'[1]BALANZA G'!C295</f>
        <v>0</v>
      </c>
      <c r="D640" s="36">
        <f>+'[1]BALANZA G'!D296-160568.42</f>
        <v>0</v>
      </c>
      <c r="E640" s="79">
        <f t="shared" si="4"/>
        <v>0</v>
      </c>
    </row>
    <row r="641" spans="1:5" x14ac:dyDescent="0.25">
      <c r="B641" s="231" t="s">
        <v>309</v>
      </c>
      <c r="C641" s="45">
        <f>SUM(C634:C640)</f>
        <v>6710750.8900000006</v>
      </c>
      <c r="D641" s="92">
        <f>SUM(D634:D640)</f>
        <v>26153747.859999999</v>
      </c>
      <c r="E641" s="45">
        <f>SUM(E634:E640)</f>
        <v>-19442996.969999995</v>
      </c>
    </row>
    <row r="642" spans="1:5" x14ac:dyDescent="0.25">
      <c r="B642" s="243"/>
      <c r="C642" s="93">
        <f>+C641-[1]ERF!B19</f>
        <v>0</v>
      </c>
      <c r="D642" s="84"/>
      <c r="E642" s="85"/>
    </row>
    <row r="643" spans="1:5" x14ac:dyDescent="0.25">
      <c r="A643" s="43"/>
      <c r="B643" s="51" t="str">
        <f>("Cambio porcentual con relación al "&amp;$D$144&amp;".")</f>
        <v>Cambio porcentual con relación al 2024.</v>
      </c>
      <c r="C643" s="52"/>
      <c r="D643" s="53" t="str">
        <f>IF(E643&gt;=0,"Aumento","Disminución")</f>
        <v>Disminución</v>
      </c>
      <c r="E643" s="86">
        <f>+E641/D641</f>
        <v>-0.74341150163554404</v>
      </c>
    </row>
    <row r="644" spans="1:5" x14ac:dyDescent="0.25">
      <c r="B644" s="58"/>
      <c r="C644" s="58"/>
      <c r="D644" s="244"/>
      <c r="E644" s="59"/>
    </row>
    <row r="645" spans="1:5" x14ac:dyDescent="0.25">
      <c r="B645" s="58"/>
      <c r="C645" s="58"/>
      <c r="D645" s="244"/>
      <c r="E645" s="59"/>
    </row>
    <row r="646" spans="1:5" x14ac:dyDescent="0.25">
      <c r="B646" s="61" t="s">
        <v>310</v>
      </c>
    </row>
    <row r="647" spans="1:5" x14ac:dyDescent="0.25">
      <c r="B647" s="61" t="s">
        <v>311</v>
      </c>
    </row>
    <row r="648" spans="1:5" ht="42" customHeight="1" x14ac:dyDescent="0.25">
      <c r="B648" s="13" t="str">
        <f>("Un detalle del "&amp;B647&amp;" al "&amp;[1]BALANZA!$B$3&amp;" "&amp;[1]BALANZA!$C$3&amp;" es como se detalla a continuación:")</f>
        <v>Un detalle del Gasto de Depreciación y Amortización al 30 de abril del 2025 - 2024 es como se detalla a continuación:</v>
      </c>
      <c r="C648" s="30"/>
      <c r="D648" s="30"/>
      <c r="E648" s="30"/>
    </row>
    <row r="649" spans="1:5" x14ac:dyDescent="0.25">
      <c r="B649" s="12"/>
    </row>
    <row r="650" spans="1:5" x14ac:dyDescent="0.25">
      <c r="B650" s="165" t="s">
        <v>297</v>
      </c>
      <c r="C650" s="166">
        <f>+C633</f>
        <v>2025</v>
      </c>
      <c r="D650" s="166">
        <f>+D633</f>
        <v>2024</v>
      </c>
      <c r="E650" s="194" t="s">
        <v>218</v>
      </c>
    </row>
    <row r="651" spans="1:5" x14ac:dyDescent="0.25">
      <c r="B651" s="150" t="s">
        <v>312</v>
      </c>
      <c r="C651" s="242">
        <f>+[1]nota12!K29</f>
        <v>1.1059455573558807E-9</v>
      </c>
      <c r="D651" s="36">
        <f>+[1]nota12!K14</f>
        <v>57143407.930000007</v>
      </c>
      <c r="E651" s="79">
        <f>+C651-D651</f>
        <v>-57143407.930000007</v>
      </c>
    </row>
    <row r="652" spans="1:5" x14ac:dyDescent="0.25">
      <c r="B652" s="150" t="s">
        <v>313</v>
      </c>
      <c r="C652" s="242">
        <f>+'[1]BALANZA G'!C296</f>
        <v>17380</v>
      </c>
      <c r="D652" s="242">
        <f>-D417</f>
        <v>160568.42000000001</v>
      </c>
      <c r="E652" s="79">
        <f>+C652-D652</f>
        <v>-143188.42000000001</v>
      </c>
    </row>
    <row r="653" spans="1:5" x14ac:dyDescent="0.25">
      <c r="B653" s="150"/>
      <c r="C653" s="242"/>
      <c r="D653" s="36"/>
      <c r="E653" s="79">
        <f>+C653-D653</f>
        <v>0</v>
      </c>
    </row>
    <row r="654" spans="1:5" x14ac:dyDescent="0.25">
      <c r="B654" s="231" t="s">
        <v>314</v>
      </c>
      <c r="C654" s="45">
        <f>SUM(C651:C653)</f>
        <v>17380.000000001106</v>
      </c>
      <c r="D654" s="92">
        <f>SUM(D651:D653)</f>
        <v>57303976.350000009</v>
      </c>
      <c r="E654" s="45">
        <f>SUM(E651:E653)</f>
        <v>-57286596.350000009</v>
      </c>
    </row>
    <row r="655" spans="1:5" x14ac:dyDescent="0.25">
      <c r="B655" s="243"/>
      <c r="C655" s="245">
        <f>+C654-[1]ERF!B20</f>
        <v>0</v>
      </c>
      <c r="D655" s="245">
        <f>+D654-[1]ERF!C20</f>
        <v>0</v>
      </c>
      <c r="E655" s="85"/>
    </row>
    <row r="656" spans="1:5" x14ac:dyDescent="0.25">
      <c r="B656" s="51" t="str">
        <f>("Cambio porcentual con relación al "&amp;$D$144&amp;".")</f>
        <v>Cambio porcentual con relación al 2024.</v>
      </c>
      <c r="C656" s="52"/>
      <c r="D656" s="53" t="str">
        <f>IF(E656&gt;=0,"Aumento","Disminución")</f>
        <v>Disminución</v>
      </c>
      <c r="E656" s="86">
        <f>+E654/D654</f>
        <v>-0.99969670516590603</v>
      </c>
    </row>
    <row r="657" spans="2:5" x14ac:dyDescent="0.25">
      <c r="B657" s="58"/>
      <c r="C657" s="58"/>
      <c r="D657" s="244"/>
      <c r="E657" s="59"/>
    </row>
    <row r="658" spans="2:5" x14ac:dyDescent="0.25">
      <c r="B658" s="58"/>
      <c r="C658" s="58"/>
      <c r="D658" s="244"/>
      <c r="E658" s="59"/>
    </row>
    <row r="659" spans="2:5" x14ac:dyDescent="0.25">
      <c r="B659" s="58"/>
      <c r="C659" s="246"/>
      <c r="D659" s="244"/>
      <c r="E659" s="59"/>
    </row>
    <row r="660" spans="2:5" x14ac:dyDescent="0.25">
      <c r="B660" s="58"/>
      <c r="C660" s="246"/>
      <c r="D660" s="244"/>
      <c r="E660" s="59"/>
    </row>
    <row r="661" spans="2:5" x14ac:dyDescent="0.25">
      <c r="B661" s="58"/>
      <c r="C661" s="246"/>
      <c r="D661" s="244"/>
      <c r="E661" s="59"/>
    </row>
    <row r="662" spans="2:5" x14ac:dyDescent="0.25">
      <c r="B662" s="58"/>
      <c r="C662" s="246"/>
      <c r="D662" s="244"/>
      <c r="E662" s="59"/>
    </row>
    <row r="663" spans="2:5" x14ac:dyDescent="0.25">
      <c r="B663" s="58"/>
      <c r="C663" s="58"/>
      <c r="D663" s="244"/>
      <c r="E663" s="59"/>
    </row>
    <row r="664" spans="2:5" x14ac:dyDescent="0.25">
      <c r="B664" s="58"/>
      <c r="C664" s="58"/>
      <c r="D664" s="244"/>
      <c r="E664" s="59"/>
    </row>
    <row r="665" spans="2:5" x14ac:dyDescent="0.25">
      <c r="B665" s="247" t="s">
        <v>315</v>
      </c>
    </row>
    <row r="666" spans="2:5" x14ac:dyDescent="0.25">
      <c r="B666" s="247" t="s">
        <v>316</v>
      </c>
    </row>
    <row r="667" spans="2:5" ht="50.25" customHeight="1" x14ac:dyDescent="0.25">
      <c r="B667" s="13" t="str">
        <f>("Un detalle de "&amp;B666&amp;" al "&amp;[1]BALANZA!$B$3&amp;" "&amp;[1]BALANZA!$C$3&amp;" es como se detalla a continuación:")</f>
        <v>Un detalle de Otros gastos  al 30 de abril del 2025 - 2024 es como se detalla a continuación:</v>
      </c>
      <c r="C667" s="30"/>
      <c r="D667" s="30"/>
      <c r="E667" s="30"/>
    </row>
    <row r="668" spans="2:5" x14ac:dyDescent="0.25">
      <c r="B668" s="12"/>
    </row>
    <row r="669" spans="2:5" x14ac:dyDescent="0.25">
      <c r="B669" s="31" t="s">
        <v>317</v>
      </c>
      <c r="C669" s="32">
        <f>+[1]BALANZA!B4</f>
        <v>2025</v>
      </c>
      <c r="D669" s="32">
        <f>+[1]BALANZA!C4</f>
        <v>2024</v>
      </c>
      <c r="E669" s="194" t="s">
        <v>218</v>
      </c>
    </row>
    <row r="670" spans="2:5" x14ac:dyDescent="0.25">
      <c r="B670" s="110" t="s">
        <v>318</v>
      </c>
      <c r="C670" s="248">
        <f>+'[1]BALANZA G'!C198+'[1]BALANZA G'!C199+'[1]BALANZA G'!C200+'[1]BALANZA G'!C201</f>
        <v>999321.26000000013</v>
      </c>
      <c r="D670" s="248">
        <f>+'[1]BALANZA G'!D198+'[1]BALANZA G'!D199+'[1]BALANZA G'!D200+'[1]BALANZA G'!D201</f>
        <v>2898777.65</v>
      </c>
      <c r="E670" s="42">
        <f>+C670-D670</f>
        <v>-1899456.3899999997</v>
      </c>
    </row>
    <row r="671" spans="2:5" x14ac:dyDescent="0.25">
      <c r="B671" s="110" t="s">
        <v>319</v>
      </c>
      <c r="C671" s="248">
        <f>+'[1]BALANZA G'!C202</f>
        <v>26547207.539999999</v>
      </c>
      <c r="D671" s="248">
        <f>+'[1]BALANZA G'!D202</f>
        <v>63713429.090000004</v>
      </c>
      <c r="E671" s="42">
        <f>+C671-D671</f>
        <v>-37166221.550000004</v>
      </c>
    </row>
    <row r="672" spans="2:5" x14ac:dyDescent="0.25">
      <c r="B672" s="150" t="s">
        <v>320</v>
      </c>
      <c r="C672" s="248">
        <f>+'[1]BALANZA G'!C206+'[1]BALANZA G'!C203+'[1]BALANZA G'!C204</f>
        <v>346887.35</v>
      </c>
      <c r="D672" s="248">
        <f>+'[1]BALANZA G'!D206+'[1]BALANZA G'!D203+'[1]BALANZA G'!D204</f>
        <v>1132137.44</v>
      </c>
      <c r="E672" s="42">
        <f t="shared" ref="E672:E678" si="5">+C672-D672</f>
        <v>-785250.09</v>
      </c>
    </row>
    <row r="673" spans="1:5" x14ac:dyDescent="0.25">
      <c r="B673" s="150" t="s">
        <v>321</v>
      </c>
      <c r="C673" s="248">
        <f>+'[1]BALANZA G'!C208+'[1]BALANZA G'!C207+'[1]BALANZA G'!C205</f>
        <v>225750</v>
      </c>
      <c r="D673" s="248">
        <f>+'[1]BALANZA G'!D205+'[1]BALANZA G'!D207+'[1]BALANZA G'!D208</f>
        <v>925630</v>
      </c>
      <c r="E673" s="42">
        <f t="shared" si="5"/>
        <v>-699880</v>
      </c>
    </row>
    <row r="674" spans="1:5" x14ac:dyDescent="0.25">
      <c r="B674" s="150" t="s">
        <v>322</v>
      </c>
      <c r="C674" s="248">
        <f>+'[1]BALANZA G'!C211+'[1]BALANZA G'!C210+'[1]BALANZA G'!C209</f>
        <v>0</v>
      </c>
      <c r="D674" s="248">
        <f>+'[1]BALANZA G'!D211+'[1]BALANZA G'!D210+'[1]BALANZA G'!D209</f>
        <v>175</v>
      </c>
      <c r="E674" s="42">
        <f t="shared" si="5"/>
        <v>-175</v>
      </c>
    </row>
    <row r="675" spans="1:5" x14ac:dyDescent="0.25">
      <c r="B675" s="110" t="s">
        <v>323</v>
      </c>
      <c r="C675" s="248">
        <f>+'[1]BALANZA G'!C213+'[1]BALANZA G'!C214+'[1]BALANZA G'!C216+'[1]BALANZA G'!C217+'[1]BALANZA G'!C218+'[1]BALANZA G'!C215+'[1]BALANZA G'!C219</f>
        <v>1249687.73</v>
      </c>
      <c r="D675" s="248">
        <f>+'[1]BALANZA G'!D213+'[1]BALANZA G'!D214+'[1]BALANZA G'!D216+'[1]BALANZA G'!D217+'[1]BALANZA G'!D218+'[1]BALANZA G'!D215+'[1]BALANZA G'!D219</f>
        <v>3151848.58</v>
      </c>
      <c r="E675" s="42">
        <f t="shared" si="5"/>
        <v>-1902160.85</v>
      </c>
    </row>
    <row r="676" spans="1:5" x14ac:dyDescent="0.25">
      <c r="B676" s="110" t="s">
        <v>324</v>
      </c>
      <c r="C676" s="248">
        <f>+'[1]BALANZA G'!C220+'[1]BALANZA G'!C221</f>
        <v>187691.92</v>
      </c>
      <c r="D676" s="248">
        <f>+'[1]BALANZA G'!D221+'[1]BALANZA G'!D220</f>
        <v>657127.22</v>
      </c>
      <c r="E676" s="42">
        <f t="shared" si="5"/>
        <v>-469435.29999999993</v>
      </c>
    </row>
    <row r="677" spans="1:5" ht="30" x14ac:dyDescent="0.25">
      <c r="B677" s="150" t="s">
        <v>325</v>
      </c>
      <c r="C677" s="248">
        <f>+'[1]BALANZA G'!C223+'[1]BALANZA G'!C224+'[1]BALANZA G'!C225+'[1]BALANZA G'!C226+'[1]BALANZA G'!C227+'[1]BALANZA G'!C229+'[1]BALANZA G'!C231+'[1]BALANZA G'!C232+'[1]BALANZA G'!C233+'[1]BALANZA G'!C234+'[1]BALANZA G'!C236+'[1]BALANZA G'!C237+'[1]BALANZA G'!C238+'[1]BALANZA G'!C228</f>
        <v>1349027.8599999999</v>
      </c>
      <c r="D677" s="248">
        <f>+'[1]BALANZA G'!D223+'[1]BALANZA G'!D224+'[1]BALANZA G'!D225+'[1]BALANZA G'!D226+'[1]BALANZA G'!D227+'[1]BALANZA G'!D229+'[1]BALANZA G'!D231+'[1]BALANZA G'!D232+'[1]BALANZA G'!D233+'[1]BALANZA G'!D234+'[1]BALANZA G'!D236+'[1]BALANZA G'!D237+'[1]BALANZA G'!D238+'[1]BALANZA G'!D228</f>
        <v>9859491.7400000002</v>
      </c>
      <c r="E677" s="249">
        <f t="shared" si="5"/>
        <v>-8510463.8800000008</v>
      </c>
    </row>
    <row r="678" spans="1:5" ht="30" x14ac:dyDescent="0.25">
      <c r="B678" s="150" t="s">
        <v>326</v>
      </c>
      <c r="C678" s="248">
        <f>+'[1]BALANZA G'!C240+'[1]BALANZA G'!C241+'[1]BALANZA G'!C243+'[1]BALANZA G'!C244+'[1]BALANZA G'!C245+'[1]BALANZA G'!C247+'[1]BALANZA G'!C192+'[1]BALANZA G'!C193+'[1]BALANZA G'!C197+'[1]BALANZA G'!C246</f>
        <v>1955499.86</v>
      </c>
      <c r="D678" s="248">
        <f>+'[1]BALANZA G'!D192+'[1]BALANZA G'!D193+'[1]BALANZA G'!D240+'[1]BALANZA G'!D243+'[1]BALANZA G'!D244+'[1]BALANZA G'!D245+'[1]BALANZA G'!D247+'[1]BALANZA G'!D241+'[1]BALANZA G'!D197+'[1]BALANZA G'!D246</f>
        <v>7481995.21</v>
      </c>
      <c r="E678" s="250">
        <f t="shared" si="5"/>
        <v>-5526495.3499999996</v>
      </c>
    </row>
    <row r="679" spans="1:5" x14ac:dyDescent="0.25">
      <c r="B679" s="81" t="s">
        <v>327</v>
      </c>
      <c r="C679" s="45">
        <f>SUM(C670:C678)</f>
        <v>32861073.520000003</v>
      </c>
      <c r="D679" s="105">
        <f>SUM(D670:D678)</f>
        <v>89820611.929999992</v>
      </c>
      <c r="E679" s="251">
        <f>SUM(E670:E678)</f>
        <v>-56959538.410000011</v>
      </c>
    </row>
    <row r="680" spans="1:5" x14ac:dyDescent="0.25">
      <c r="B680" s="12" t="s">
        <v>328</v>
      </c>
      <c r="C680" s="233">
        <f>+C679-[1]ERF!B22</f>
        <v>0</v>
      </c>
      <c r="D680" s="233">
        <f>+D679-[1]ERF!C22</f>
        <v>0</v>
      </c>
    </row>
    <row r="681" spans="1:5" x14ac:dyDescent="0.25">
      <c r="A681" s="43"/>
      <c r="B681" s="51" t="str">
        <f>("Cambio porcentual con relación al "&amp;$D$144&amp;".")</f>
        <v>Cambio porcentual con relación al 2024.</v>
      </c>
      <c r="C681" s="52"/>
      <c r="D681" s="53" t="str">
        <f>IF(E681&gt;=0,"Aumento","Disminución")</f>
        <v>Disminución</v>
      </c>
      <c r="E681" s="86">
        <f>+E679/D679</f>
        <v>-0.63414774388745376</v>
      </c>
    </row>
    <row r="682" spans="1:5" x14ac:dyDescent="0.25">
      <c r="A682" s="43"/>
      <c r="B682" s="58"/>
      <c r="C682" s="58"/>
      <c r="D682" s="56"/>
      <c r="E682" s="59"/>
    </row>
    <row r="683" spans="1:5" x14ac:dyDescent="0.25">
      <c r="A683" s="43"/>
      <c r="B683" s="58"/>
      <c r="C683" s="58"/>
      <c r="D683" s="56"/>
      <c r="E683" s="59"/>
    </row>
    <row r="684" spans="1:5" x14ac:dyDescent="0.25">
      <c r="B684" s="58"/>
      <c r="C684" s="58"/>
      <c r="D684" s="244"/>
      <c r="E684" s="59"/>
    </row>
    <row r="685" spans="1:5" x14ac:dyDescent="0.25">
      <c r="B685" s="61" t="s">
        <v>329</v>
      </c>
    </row>
    <row r="686" spans="1:5" x14ac:dyDescent="0.25">
      <c r="B686" s="61" t="s">
        <v>330</v>
      </c>
    </row>
    <row r="687" spans="1:5" x14ac:dyDescent="0.25">
      <c r="B687" s="13" t="str">
        <f>("Un detalle del "&amp;B686&amp;" al "&amp;[1]BALANZA!$B$3&amp;" "&amp;[1]BALANZA!$C$3&amp;" es como se detalla a continuación:")</f>
        <v>Un detalle del Gastos Financieros  al 30 de abril del 2025 - 2024 es como se detalla a continuación:</v>
      </c>
      <c r="C687" s="30"/>
      <c r="D687" s="30"/>
      <c r="E687" s="30"/>
    </row>
    <row r="688" spans="1:5" x14ac:dyDescent="0.25">
      <c r="B688" s="4"/>
    </row>
    <row r="689" spans="1:5" x14ac:dyDescent="0.25">
      <c r="B689" s="34" t="str">
        <f>+B669</f>
        <v>PARTIDA</v>
      </c>
      <c r="C689" s="252">
        <f>+C669</f>
        <v>2025</v>
      </c>
      <c r="D689" s="252">
        <f>+D669</f>
        <v>2024</v>
      </c>
      <c r="E689" s="194" t="s">
        <v>218</v>
      </c>
    </row>
    <row r="690" spans="1:5" x14ac:dyDescent="0.25">
      <c r="B690" s="150" t="s">
        <v>331</v>
      </c>
      <c r="C690" s="36">
        <f>+'[1]BALANZA G'!C242</f>
        <v>251701.1</v>
      </c>
      <c r="D690" s="36">
        <f>+'[1]BALANZA G'!D242</f>
        <v>755694.55</v>
      </c>
      <c r="E690" s="42">
        <f>+C690-D690</f>
        <v>-503993.45000000007</v>
      </c>
    </row>
    <row r="691" spans="1:5" x14ac:dyDescent="0.25">
      <c r="B691" s="150" t="s">
        <v>332</v>
      </c>
      <c r="C691" s="36">
        <f>+'[1]BALANZA G'!C248</f>
        <v>0</v>
      </c>
      <c r="D691" s="36">
        <f>+'[1]BALANZA G'!D248</f>
        <v>0</v>
      </c>
      <c r="E691" s="42">
        <f>+C691-D691</f>
        <v>0</v>
      </c>
    </row>
    <row r="692" spans="1:5" x14ac:dyDescent="0.25">
      <c r="B692" s="231" t="s">
        <v>333</v>
      </c>
      <c r="C692" s="92">
        <f>SUM(C690:C691)</f>
        <v>251701.1</v>
      </c>
      <c r="D692" s="92">
        <f>SUM(D690:D691)</f>
        <v>755694.55</v>
      </c>
      <c r="E692" s="92">
        <f>SUM(E690:E691)</f>
        <v>-503993.45000000007</v>
      </c>
    </row>
    <row r="693" spans="1:5" x14ac:dyDescent="0.25">
      <c r="B693" s="253"/>
      <c r="C693" s="99">
        <f>+C692-[1]ERF!B23</f>
        <v>0</v>
      </c>
      <c r="D693" s="99">
        <f>+D692-[1]ERF!C23</f>
        <v>0</v>
      </c>
      <c r="E693" s="101"/>
    </row>
    <row r="694" spans="1:5" x14ac:dyDescent="0.25">
      <c r="A694" s="43"/>
      <c r="B694" s="51" t="str">
        <f>("Cambio porcentual con relación al "&amp;$D$144&amp;".")</f>
        <v>Cambio porcentual con relación al 2024.</v>
      </c>
      <c r="C694" s="52"/>
      <c r="D694" s="53" t="str">
        <f>IF(E694&gt;=0,"Aumento","Disminución")</f>
        <v>Disminución</v>
      </c>
      <c r="E694" s="86">
        <f>+E692/D692</f>
        <v>-0.66692746427772975</v>
      </c>
    </row>
    <row r="695" spans="1:5" x14ac:dyDescent="0.25">
      <c r="B695" s="58"/>
      <c r="C695" s="58"/>
      <c r="D695" s="244"/>
      <c r="E695" s="59"/>
    </row>
    <row r="696" spans="1:5" x14ac:dyDescent="0.25">
      <c r="B696" s="61" t="s">
        <v>334</v>
      </c>
      <c r="C696" s="58"/>
      <c r="D696" s="244"/>
      <c r="E696" s="59"/>
    </row>
    <row r="697" spans="1:5" x14ac:dyDescent="0.25">
      <c r="B697" s="61" t="s">
        <v>335</v>
      </c>
      <c r="C697" s="58"/>
      <c r="D697" s="244"/>
      <c r="E697" s="59"/>
    </row>
    <row r="698" spans="1:5" ht="24" customHeight="1" x14ac:dyDescent="0.25">
      <c r="B698" s="13" t="str">
        <f>("Un detalle de "&amp;B697&amp;" al "&amp;[1]BALANZA!$B$3&amp;" "&amp;[1]BALANZA!$C$3&amp;" es como se detalla a continuación:")</f>
        <v>Un detalle de Compromisos y contingencias al 30 de abril del 2025 - 2024 es como se detalla a continuación:</v>
      </c>
      <c r="C698" s="30"/>
      <c r="D698" s="30"/>
      <c r="E698" s="30"/>
    </row>
    <row r="699" spans="1:5" ht="48" customHeight="1" x14ac:dyDescent="0.25">
      <c r="B699" s="19" t="str">
        <f>("La facturación historica no cobrada a la fecha de corte, para el "&amp;C701&amp;" presenta un monto de RD$"&amp;R706&amp;" y para el "&amp;D701&amp;" presenta un monto de RD$"&amp;R707&amp;"." )</f>
        <v>La facturación historica no cobrada a la fecha de corte, para el 2025 presenta un monto de RD$ y para el 2024 presenta un monto de RD$.</v>
      </c>
      <c r="C699" s="19"/>
      <c r="D699" s="19"/>
      <c r="E699" s="19"/>
    </row>
    <row r="700" spans="1:5" x14ac:dyDescent="0.25">
      <c r="B700" s="19"/>
      <c r="C700" s="19"/>
      <c r="D700" s="19"/>
      <c r="E700" s="19"/>
    </row>
    <row r="701" spans="1:5" x14ac:dyDescent="0.25">
      <c r="B701" s="252" t="str">
        <f>+B689</f>
        <v>PARTIDA</v>
      </c>
      <c r="C701" s="252">
        <f>+C689</f>
        <v>2025</v>
      </c>
      <c r="D701" s="252">
        <f>+D689</f>
        <v>2024</v>
      </c>
      <c r="E701" s="194" t="s">
        <v>218</v>
      </c>
    </row>
    <row r="702" spans="1:5" x14ac:dyDescent="0.25">
      <c r="B702" s="150" t="s">
        <v>336</v>
      </c>
      <c r="C702" s="242">
        <f>+C720</f>
        <v>1817264</v>
      </c>
      <c r="D702" s="242">
        <f>+D720</f>
        <v>7909235</v>
      </c>
      <c r="E702" s="79">
        <f>+C702-D702</f>
        <v>-6091971</v>
      </c>
    </row>
    <row r="703" spans="1:5" x14ac:dyDescent="0.25">
      <c r="B703" s="150" t="s">
        <v>337</v>
      </c>
      <c r="C703" s="242">
        <f>+C731-C702</f>
        <v>512167856.94</v>
      </c>
      <c r="D703" s="242">
        <f>+D731-D702</f>
        <v>445932454</v>
      </c>
      <c r="E703" s="79">
        <f>+C703-D703</f>
        <v>66235402.939999998</v>
      </c>
    </row>
    <row r="704" spans="1:5" x14ac:dyDescent="0.25">
      <c r="B704" s="231" t="s">
        <v>338</v>
      </c>
      <c r="C704" s="45">
        <f>SUM(C702:C703)</f>
        <v>513985120.94</v>
      </c>
      <c r="D704" s="45">
        <f>SUM(D702:D703)</f>
        <v>453841689</v>
      </c>
      <c r="E704" s="45">
        <f>SUM(E702:E703)</f>
        <v>60143431.939999998</v>
      </c>
    </row>
    <row r="705" spans="1:5" x14ac:dyDescent="0.25">
      <c r="B705" s="253"/>
      <c r="C705" s="254"/>
      <c r="D705" s="100"/>
      <c r="E705" s="101"/>
    </row>
    <row r="706" spans="1:5" x14ac:dyDescent="0.25">
      <c r="A706" s="43"/>
      <c r="B706" s="51" t="str">
        <f>("Cambio porcentual con relación al "&amp;$D$144&amp;".")</f>
        <v>Cambio porcentual con relación al 2024.</v>
      </c>
      <c r="C706" s="52"/>
      <c r="D706" s="255" t="str">
        <f>IF(E706&gt;=0,"Aumento","Disminución")</f>
        <v>Aumento</v>
      </c>
      <c r="E706" s="256">
        <f>IFERROR((+E704/D704),0)</f>
        <v>0.13252073002046313</v>
      </c>
    </row>
    <row r="707" spans="1:5" x14ac:dyDescent="0.25">
      <c r="A707" s="43"/>
      <c r="B707" s="55"/>
      <c r="C707" s="55"/>
      <c r="D707" s="257"/>
      <c r="E707" s="258"/>
    </row>
    <row r="708" spans="1:5" x14ac:dyDescent="0.25">
      <c r="A708" s="43"/>
      <c r="B708" s="55"/>
      <c r="C708" s="55"/>
      <c r="D708" s="257"/>
      <c r="E708" s="258"/>
    </row>
    <row r="709" spans="1:5" x14ac:dyDescent="0.25">
      <c r="A709" s="43"/>
      <c r="B709" s="55"/>
      <c r="C709" s="55"/>
      <c r="D709" s="257"/>
      <c r="E709" s="258"/>
    </row>
    <row r="710" spans="1:5" x14ac:dyDescent="0.25">
      <c r="A710" s="43"/>
      <c r="B710" s="55"/>
      <c r="C710" s="55"/>
      <c r="D710" s="257"/>
      <c r="E710" s="258"/>
    </row>
    <row r="711" spans="1:5" x14ac:dyDescent="0.25">
      <c r="B711" s="14"/>
      <c r="C711" s="14"/>
      <c r="D711" s="14"/>
      <c r="E711" s="14"/>
    </row>
    <row r="714" spans="1:5" ht="54.75" customHeight="1" x14ac:dyDescent="0.25">
      <c r="B714" s="259" t="s">
        <v>339</v>
      </c>
      <c r="C714" s="259"/>
      <c r="D714" s="259"/>
      <c r="E714" s="259"/>
    </row>
    <row r="715" spans="1:5" ht="54.75" customHeight="1" x14ac:dyDescent="0.25">
      <c r="A715" s="2"/>
      <c r="B715" s="260" t="str">
        <f>("La informacion de  Cuentas por Cobrar según el Sistema Comercial al "&amp;[1]BALANZA!B3&amp;" "&amp;[1]BALANZA!C3&amp;" se detalla a continuación")</f>
        <v>La informacion de  Cuentas por Cobrar según el Sistema Comercial al 30 de abril del 2025 - 2024 se detalla a continuación</v>
      </c>
      <c r="C715" s="260"/>
      <c r="D715" s="260"/>
      <c r="E715" s="260"/>
    </row>
    <row r="716" spans="1:5" x14ac:dyDescent="0.25">
      <c r="B716" s="194" t="str">
        <f>+B701</f>
        <v>PARTIDA</v>
      </c>
      <c r="C716" s="194">
        <f>+C701</f>
        <v>2025</v>
      </c>
      <c r="D716" s="194">
        <f>+D701</f>
        <v>2024</v>
      </c>
      <c r="E716" s="261"/>
    </row>
    <row r="717" spans="1:5" x14ac:dyDescent="0.25">
      <c r="B717" s="209"/>
      <c r="C717" s="42"/>
      <c r="D717" s="262"/>
    </row>
    <row r="718" spans="1:5" x14ac:dyDescent="0.25">
      <c r="B718" s="209" t="s">
        <v>340</v>
      </c>
      <c r="C718" s="42">
        <v>243262</v>
      </c>
      <c r="D718" s="168">
        <v>235712</v>
      </c>
    </row>
    <row r="719" spans="1:5" x14ac:dyDescent="0.25">
      <c r="B719" s="209" t="s">
        <v>341</v>
      </c>
      <c r="C719" s="42">
        <v>2000</v>
      </c>
      <c r="D719" s="168">
        <v>1210</v>
      </c>
    </row>
    <row r="720" spans="1:5" x14ac:dyDescent="0.25">
      <c r="B720" s="209" t="s">
        <v>342</v>
      </c>
      <c r="C720" s="42">
        <f>980788+836476</f>
        <v>1817264</v>
      </c>
      <c r="D720" s="168">
        <f>7130810+778425</f>
        <v>7909235</v>
      </c>
    </row>
    <row r="721" spans="2:5" x14ac:dyDescent="0.25">
      <c r="B721" s="209" t="s">
        <v>343</v>
      </c>
      <c r="C721" s="42">
        <v>590249</v>
      </c>
      <c r="D721" s="168">
        <v>869044</v>
      </c>
    </row>
    <row r="722" spans="2:5" x14ac:dyDescent="0.25">
      <c r="B722" s="209" t="s">
        <v>344</v>
      </c>
      <c r="C722" s="42">
        <v>635899</v>
      </c>
      <c r="D722" s="168">
        <v>920884</v>
      </c>
    </row>
    <row r="723" spans="2:5" x14ac:dyDescent="0.25">
      <c r="B723" s="263" t="s">
        <v>345</v>
      </c>
      <c r="C723" s="264">
        <f>SUM(C718:C722)</f>
        <v>3288674</v>
      </c>
      <c r="D723" s="264">
        <f>SUM(D718:D722)</f>
        <v>9936085</v>
      </c>
    </row>
    <row r="724" spans="2:5" x14ac:dyDescent="0.25">
      <c r="B724" s="209" t="s">
        <v>340</v>
      </c>
      <c r="C724" s="42">
        <v>24407875</v>
      </c>
      <c r="D724" s="168">
        <f>14368305</f>
        <v>14368305</v>
      </c>
    </row>
    <row r="725" spans="2:5" x14ac:dyDescent="0.25">
      <c r="B725" s="209" t="s">
        <v>341</v>
      </c>
      <c r="C725" s="42">
        <v>90874</v>
      </c>
      <c r="D725" s="168">
        <v>68295</v>
      </c>
    </row>
    <row r="726" spans="2:5" x14ac:dyDescent="0.25">
      <c r="B726" s="209" t="s">
        <v>346</v>
      </c>
      <c r="C726" s="42">
        <v>267076</v>
      </c>
      <c r="D726" s="168">
        <v>63646</v>
      </c>
    </row>
    <row r="727" spans="2:5" x14ac:dyDescent="0.25">
      <c r="B727" s="209" t="s">
        <v>347</v>
      </c>
      <c r="C727" s="42">
        <v>3804338</v>
      </c>
      <c r="D727" s="168">
        <v>3352009</v>
      </c>
    </row>
    <row r="728" spans="2:5" x14ac:dyDescent="0.25">
      <c r="B728" s="209" t="s">
        <v>343</v>
      </c>
      <c r="C728" s="42">
        <v>197155719.75</v>
      </c>
      <c r="D728" s="168">
        <v>133132858</v>
      </c>
    </row>
    <row r="729" spans="2:5" x14ac:dyDescent="0.25">
      <c r="B729" s="209" t="s">
        <v>344</v>
      </c>
      <c r="C729" s="42">
        <v>284970564.19</v>
      </c>
      <c r="D729" s="168">
        <v>292920491</v>
      </c>
    </row>
    <row r="730" spans="2:5" x14ac:dyDescent="0.25">
      <c r="B730" s="263" t="s">
        <v>345</v>
      </c>
      <c r="C730" s="264">
        <f>SUM(C724:C729)</f>
        <v>510696446.94</v>
      </c>
      <c r="D730" s="264">
        <f>SUM(D724:D729)</f>
        <v>443905604</v>
      </c>
    </row>
    <row r="731" spans="2:5" x14ac:dyDescent="0.25">
      <c r="B731" s="263" t="s">
        <v>348</v>
      </c>
      <c r="C731" s="264">
        <f>+C723+C730</f>
        <v>513985120.94</v>
      </c>
      <c r="D731" s="264">
        <f>+D723+D730</f>
        <v>453841689</v>
      </c>
    </row>
    <row r="732" spans="2:5" x14ac:dyDescent="0.25">
      <c r="B732" s="265"/>
      <c r="E732" s="261"/>
    </row>
    <row r="733" spans="2:5" x14ac:dyDescent="0.25">
      <c r="B733" s="265"/>
      <c r="C733" s="266"/>
      <c r="E733" s="267"/>
    </row>
    <row r="734" spans="2:5" x14ac:dyDescent="0.25">
      <c r="B734" s="265"/>
      <c r="E734" s="267"/>
    </row>
    <row r="735" spans="2:5" x14ac:dyDescent="0.25">
      <c r="B735" s="265"/>
      <c r="E735" s="261"/>
    </row>
    <row r="736" spans="2:5" x14ac:dyDescent="0.25">
      <c r="B736" s="265"/>
      <c r="E736" s="261"/>
    </row>
    <row r="737" spans="2:5" x14ac:dyDescent="0.25">
      <c r="B737" s="265"/>
      <c r="E737" s="267"/>
    </row>
    <row r="738" spans="2:5" x14ac:dyDescent="0.25">
      <c r="B738" s="265"/>
      <c r="E738" s="261"/>
    </row>
    <row r="739" spans="2:5" x14ac:dyDescent="0.25">
      <c r="B739" s="265"/>
      <c r="E739" s="261"/>
    </row>
    <row r="740" spans="2:5" x14ac:dyDescent="0.25">
      <c r="B740" s="265"/>
      <c r="E740" s="261"/>
    </row>
    <row r="741" spans="2:5" x14ac:dyDescent="0.25">
      <c r="B741" s="265"/>
      <c r="E741" s="261"/>
    </row>
    <row r="742" spans="2:5" x14ac:dyDescent="0.25">
      <c r="B742" s="265"/>
      <c r="E742" s="261"/>
    </row>
    <row r="743" spans="2:5" x14ac:dyDescent="0.25">
      <c r="B743" s="265"/>
      <c r="E743" s="261"/>
    </row>
    <row r="744" spans="2:5" x14ac:dyDescent="0.25">
      <c r="B744" s="265"/>
      <c r="E744" s="261"/>
    </row>
    <row r="745" spans="2:5" x14ac:dyDescent="0.25">
      <c r="B745" s="265"/>
      <c r="E745" s="261"/>
    </row>
    <row r="746" spans="2:5" x14ac:dyDescent="0.25">
      <c r="B746" s="265"/>
      <c r="E746" s="261"/>
    </row>
    <row r="747" spans="2:5" x14ac:dyDescent="0.25">
      <c r="B747" s="265"/>
      <c r="E747" s="261"/>
    </row>
    <row r="748" spans="2:5" x14ac:dyDescent="0.25">
      <c r="B748" s="265"/>
      <c r="E748" s="261"/>
    </row>
    <row r="749" spans="2:5" x14ac:dyDescent="0.25">
      <c r="B749" s="265"/>
      <c r="E749" s="261"/>
    </row>
    <row r="750" spans="2:5" x14ac:dyDescent="0.25">
      <c r="B750" s="265"/>
      <c r="E750" s="261"/>
    </row>
    <row r="751" spans="2:5" x14ac:dyDescent="0.25">
      <c r="B751" s="265"/>
      <c r="E751" s="261"/>
    </row>
    <row r="752" spans="2:5" x14ac:dyDescent="0.25">
      <c r="B752" s="265"/>
      <c r="E752" s="261"/>
    </row>
    <row r="753" spans="2:5" x14ac:dyDescent="0.25">
      <c r="B753" s="265"/>
      <c r="E753" s="261"/>
    </row>
    <row r="754" spans="2:5" x14ac:dyDescent="0.25">
      <c r="B754" s="265"/>
      <c r="E754" s="261"/>
    </row>
    <row r="755" spans="2:5" x14ac:dyDescent="0.25">
      <c r="B755" s="265"/>
      <c r="E755" s="261"/>
    </row>
    <row r="756" spans="2:5" x14ac:dyDescent="0.25">
      <c r="B756" s="265"/>
      <c r="E756" s="261"/>
    </row>
    <row r="757" spans="2:5" x14ac:dyDescent="0.25">
      <c r="B757" s="265"/>
      <c r="E757" s="261"/>
    </row>
    <row r="758" spans="2:5" x14ac:dyDescent="0.25">
      <c r="B758" s="265"/>
      <c r="E758" s="261"/>
    </row>
    <row r="759" spans="2:5" x14ac:dyDescent="0.25">
      <c r="B759" s="265"/>
      <c r="E759" s="261"/>
    </row>
    <row r="760" spans="2:5" x14ac:dyDescent="0.25">
      <c r="B760" s="265"/>
      <c r="E760" s="261"/>
    </row>
    <row r="761" spans="2:5" x14ac:dyDescent="0.25">
      <c r="B761" s="265"/>
      <c r="E761" s="261"/>
    </row>
    <row r="762" spans="2:5" x14ac:dyDescent="0.25">
      <c r="B762" s="265"/>
      <c r="E762" s="261"/>
    </row>
    <row r="763" spans="2:5" x14ac:dyDescent="0.25">
      <c r="B763" s="265"/>
      <c r="E763" s="261"/>
    </row>
    <row r="764" spans="2:5" x14ac:dyDescent="0.25">
      <c r="B764" s="265"/>
      <c r="E764" s="261"/>
    </row>
    <row r="765" spans="2:5" x14ac:dyDescent="0.25">
      <c r="B765" s="265"/>
      <c r="E765" s="261"/>
    </row>
    <row r="766" spans="2:5" x14ac:dyDescent="0.25">
      <c r="B766" s="265"/>
      <c r="E766" s="261"/>
    </row>
    <row r="767" spans="2:5" x14ac:dyDescent="0.25">
      <c r="B767" s="265"/>
      <c r="E767" s="261"/>
    </row>
    <row r="768" spans="2:5" x14ac:dyDescent="0.25">
      <c r="B768" s="265"/>
      <c r="E768" s="261"/>
    </row>
    <row r="769" spans="2:5" x14ac:dyDescent="0.25">
      <c r="B769" s="265"/>
      <c r="E769" s="261"/>
    </row>
    <row r="770" spans="2:5" x14ac:dyDescent="0.25">
      <c r="B770" s="265"/>
      <c r="E770" s="261"/>
    </row>
    <row r="771" spans="2:5" x14ac:dyDescent="0.25">
      <c r="B771" s="265"/>
      <c r="E771" s="261"/>
    </row>
    <row r="772" spans="2:5" x14ac:dyDescent="0.25">
      <c r="B772" s="265"/>
    </row>
    <row r="773" spans="2:5" x14ac:dyDescent="0.25">
      <c r="C773" s="7"/>
    </row>
    <row r="776" spans="2:5" x14ac:dyDescent="0.25">
      <c r="B776" s="265"/>
    </row>
    <row r="778" spans="2:5" x14ac:dyDescent="0.25">
      <c r="B778" s="265"/>
    </row>
    <row r="779" spans="2:5" x14ac:dyDescent="0.25">
      <c r="B779" s="265"/>
    </row>
    <row r="780" spans="2:5" x14ac:dyDescent="0.25">
      <c r="B780" s="265"/>
    </row>
    <row r="781" spans="2:5" x14ac:dyDescent="0.25">
      <c r="B781" s="265"/>
    </row>
    <row r="782" spans="2:5" x14ac:dyDescent="0.25">
      <c r="B782" s="265"/>
    </row>
    <row r="783" spans="2:5" x14ac:dyDescent="0.25">
      <c r="B783" s="265"/>
    </row>
    <row r="784" spans="2:5" x14ac:dyDescent="0.25">
      <c r="B784" s="265"/>
    </row>
    <row r="785" spans="2:2" x14ac:dyDescent="0.25">
      <c r="B785" s="265"/>
    </row>
    <row r="786" spans="2:2" x14ac:dyDescent="0.25">
      <c r="B786" s="265"/>
    </row>
    <row r="787" spans="2:2" x14ac:dyDescent="0.25">
      <c r="B787" s="265"/>
    </row>
    <row r="788" spans="2:2" x14ac:dyDescent="0.25">
      <c r="B788" s="265"/>
    </row>
    <row r="789" spans="2:2" x14ac:dyDescent="0.25">
      <c r="B789" s="265"/>
    </row>
    <row r="790" spans="2:2" x14ac:dyDescent="0.25">
      <c r="B790" s="265"/>
    </row>
    <row r="791" spans="2:2" x14ac:dyDescent="0.25">
      <c r="B791" s="265"/>
    </row>
    <row r="792" spans="2:2" x14ac:dyDescent="0.25">
      <c r="B792" s="265"/>
    </row>
    <row r="793" spans="2:2" x14ac:dyDescent="0.25">
      <c r="B793" s="265"/>
    </row>
    <row r="794" spans="2:2" x14ac:dyDescent="0.25">
      <c r="B794" s="265"/>
    </row>
    <row r="795" spans="2:2" x14ac:dyDescent="0.25">
      <c r="B795" s="265"/>
    </row>
    <row r="796" spans="2:2" x14ac:dyDescent="0.25">
      <c r="B796" s="265"/>
    </row>
    <row r="797" spans="2:2" x14ac:dyDescent="0.25">
      <c r="B797" s="265"/>
    </row>
    <row r="798" spans="2:2" x14ac:dyDescent="0.25">
      <c r="B798" s="265"/>
    </row>
    <row r="799" spans="2:2" x14ac:dyDescent="0.25">
      <c r="B799" s="265"/>
    </row>
    <row r="800" spans="2:2" x14ac:dyDescent="0.25">
      <c r="B800" s="265"/>
    </row>
    <row r="801" spans="2:2" x14ac:dyDescent="0.25">
      <c r="B801" s="265"/>
    </row>
    <row r="802" spans="2:2" x14ac:dyDescent="0.25">
      <c r="B802" s="265"/>
    </row>
    <row r="803" spans="2:2" x14ac:dyDescent="0.25">
      <c r="B803" s="265"/>
    </row>
    <row r="804" spans="2:2" x14ac:dyDescent="0.25">
      <c r="B804" s="265"/>
    </row>
    <row r="805" spans="2:2" x14ac:dyDescent="0.25">
      <c r="B805" s="265"/>
    </row>
    <row r="806" spans="2:2" x14ac:dyDescent="0.25">
      <c r="B806" s="265"/>
    </row>
    <row r="807" spans="2:2" x14ac:dyDescent="0.25">
      <c r="B807" s="265"/>
    </row>
    <row r="808" spans="2:2" x14ac:dyDescent="0.25">
      <c r="B808" s="265"/>
    </row>
    <row r="809" spans="2:2" x14ac:dyDescent="0.25">
      <c r="B809" s="265"/>
    </row>
    <row r="810" spans="2:2" x14ac:dyDescent="0.25">
      <c r="B810" s="265"/>
    </row>
    <row r="811" spans="2:2" x14ac:dyDescent="0.25">
      <c r="B811" s="265"/>
    </row>
    <row r="812" spans="2:2" x14ac:dyDescent="0.25">
      <c r="B812" s="265"/>
    </row>
    <row r="813" spans="2:2" x14ac:dyDescent="0.25">
      <c r="B813" s="265"/>
    </row>
    <row r="814" spans="2:2" x14ac:dyDescent="0.25">
      <c r="B814" s="265"/>
    </row>
    <row r="815" spans="2:2" x14ac:dyDescent="0.25">
      <c r="B815" s="265"/>
    </row>
    <row r="816" spans="2:2" x14ac:dyDescent="0.25">
      <c r="B816" s="265"/>
    </row>
    <row r="817" spans="2:2" x14ac:dyDescent="0.25">
      <c r="B817" s="265"/>
    </row>
    <row r="818" spans="2:2" x14ac:dyDescent="0.25">
      <c r="B818" s="265"/>
    </row>
    <row r="819" spans="2:2" x14ac:dyDescent="0.25">
      <c r="B819" s="265"/>
    </row>
    <row r="820" spans="2:2" x14ac:dyDescent="0.25">
      <c r="B820" s="265"/>
    </row>
    <row r="821" spans="2:2" x14ac:dyDescent="0.25">
      <c r="B821" s="265"/>
    </row>
    <row r="822" spans="2:2" x14ac:dyDescent="0.25">
      <c r="B822" s="265"/>
    </row>
    <row r="823" spans="2:2" x14ac:dyDescent="0.25">
      <c r="B823" s="265"/>
    </row>
    <row r="824" spans="2:2" x14ac:dyDescent="0.25">
      <c r="B824" s="265"/>
    </row>
    <row r="825" spans="2:2" x14ac:dyDescent="0.25">
      <c r="B825" s="265"/>
    </row>
    <row r="826" spans="2:2" x14ac:dyDescent="0.25">
      <c r="B826" s="265"/>
    </row>
    <row r="827" spans="2:2" x14ac:dyDescent="0.25">
      <c r="B827" s="265"/>
    </row>
    <row r="828" spans="2:2" x14ac:dyDescent="0.25">
      <c r="B828" s="265"/>
    </row>
    <row r="829" spans="2:2" x14ac:dyDescent="0.25">
      <c r="B829" s="265"/>
    </row>
    <row r="830" spans="2:2" x14ac:dyDescent="0.25">
      <c r="B830" s="265"/>
    </row>
    <row r="831" spans="2:2" x14ac:dyDescent="0.25">
      <c r="B831" s="265"/>
    </row>
    <row r="832" spans="2:2" x14ac:dyDescent="0.25">
      <c r="B832" s="265"/>
    </row>
    <row r="833" spans="2:2" x14ac:dyDescent="0.25">
      <c r="B833" s="265"/>
    </row>
    <row r="834" spans="2:2" x14ac:dyDescent="0.25">
      <c r="B834" s="265"/>
    </row>
    <row r="835" spans="2:2" x14ac:dyDescent="0.25">
      <c r="B835" s="265"/>
    </row>
    <row r="836" spans="2:2" x14ac:dyDescent="0.25">
      <c r="B836" s="265"/>
    </row>
    <row r="837" spans="2:2" x14ac:dyDescent="0.25">
      <c r="B837" s="265"/>
    </row>
    <row r="838" spans="2:2" x14ac:dyDescent="0.25">
      <c r="B838" s="265"/>
    </row>
    <row r="839" spans="2:2" x14ac:dyDescent="0.25">
      <c r="B839" s="265"/>
    </row>
    <row r="840" spans="2:2" x14ac:dyDescent="0.25">
      <c r="B840" s="265"/>
    </row>
    <row r="841" spans="2:2" x14ac:dyDescent="0.25">
      <c r="B841" s="265"/>
    </row>
    <row r="842" spans="2:2" x14ac:dyDescent="0.25">
      <c r="B842" s="265"/>
    </row>
    <row r="843" spans="2:2" x14ac:dyDescent="0.25">
      <c r="B843" s="265"/>
    </row>
    <row r="844" spans="2:2" x14ac:dyDescent="0.25">
      <c r="B844" s="265"/>
    </row>
    <row r="845" spans="2:2" x14ac:dyDescent="0.25">
      <c r="B845" s="265"/>
    </row>
    <row r="846" spans="2:2" x14ac:dyDescent="0.25">
      <c r="B846" s="265"/>
    </row>
    <row r="847" spans="2:2" x14ac:dyDescent="0.25">
      <c r="B847" s="265"/>
    </row>
    <row r="848" spans="2:2" x14ac:dyDescent="0.25">
      <c r="B848" s="265"/>
    </row>
    <row r="849" spans="2:2" x14ac:dyDescent="0.25">
      <c r="B849" s="265"/>
    </row>
    <row r="850" spans="2:2" x14ac:dyDescent="0.25">
      <c r="B850" s="265"/>
    </row>
  </sheetData>
  <mergeCells count="143">
    <mergeCell ref="B699:E699"/>
    <mergeCell ref="B700:E700"/>
    <mergeCell ref="B706:C706"/>
    <mergeCell ref="B714:E714"/>
    <mergeCell ref="B715:E715"/>
    <mergeCell ref="B656:C656"/>
    <mergeCell ref="B667:E667"/>
    <mergeCell ref="B681:C681"/>
    <mergeCell ref="B687:E687"/>
    <mergeCell ref="B694:C694"/>
    <mergeCell ref="B698:E698"/>
    <mergeCell ref="B606:C606"/>
    <mergeCell ref="B619:E619"/>
    <mergeCell ref="B626:C626"/>
    <mergeCell ref="B631:E631"/>
    <mergeCell ref="B643:C643"/>
    <mergeCell ref="B648:E648"/>
    <mergeCell ref="B546:C546"/>
    <mergeCell ref="B548:E548"/>
    <mergeCell ref="B549:E549"/>
    <mergeCell ref="B587:E587"/>
    <mergeCell ref="B591:E591"/>
    <mergeCell ref="B592:E592"/>
    <mergeCell ref="C523:D523"/>
    <mergeCell ref="B529:C529"/>
    <mergeCell ref="B534:E534"/>
    <mergeCell ref="B535:E535"/>
    <mergeCell ref="B536:E536"/>
    <mergeCell ref="C538:D538"/>
    <mergeCell ref="B496:E496"/>
    <mergeCell ref="B497:E497"/>
    <mergeCell ref="B506:C506"/>
    <mergeCell ref="B507:E507"/>
    <mergeCell ref="B520:E520"/>
    <mergeCell ref="B521:E521"/>
    <mergeCell ref="B465:E465"/>
    <mergeCell ref="B466:E466"/>
    <mergeCell ref="B473:C473"/>
    <mergeCell ref="B476:E476"/>
    <mergeCell ref="B477:E477"/>
    <mergeCell ref="B490:C490"/>
    <mergeCell ref="B440:C440"/>
    <mergeCell ref="B441:E441"/>
    <mergeCell ref="B444:E444"/>
    <mergeCell ref="B445:E445"/>
    <mergeCell ref="B451:C451"/>
    <mergeCell ref="B464:E464"/>
    <mergeCell ref="B420:C420"/>
    <mergeCell ref="B422:E422"/>
    <mergeCell ref="B429:E429"/>
    <mergeCell ref="B430:E430"/>
    <mergeCell ref="B431:E431"/>
    <mergeCell ref="B432:E432"/>
    <mergeCell ref="B279:E279"/>
    <mergeCell ref="B280:E280"/>
    <mergeCell ref="B281:E281"/>
    <mergeCell ref="B360:C360"/>
    <mergeCell ref="B412:E412"/>
    <mergeCell ref="B413:E413"/>
    <mergeCell ref="B242:C242"/>
    <mergeCell ref="B247:E247"/>
    <mergeCell ref="B248:E248"/>
    <mergeCell ref="B249:E249"/>
    <mergeCell ref="B268:C268"/>
    <mergeCell ref="B278:E278"/>
    <mergeCell ref="B209:E209"/>
    <mergeCell ref="B210:E210"/>
    <mergeCell ref="B217:C217"/>
    <mergeCell ref="B225:E225"/>
    <mergeCell ref="B231:E231"/>
    <mergeCell ref="B232:E232"/>
    <mergeCell ref="B196:E196"/>
    <mergeCell ref="B197:E197"/>
    <mergeCell ref="B203:C203"/>
    <mergeCell ref="B205:E205"/>
    <mergeCell ref="B207:E207"/>
    <mergeCell ref="B208:E208"/>
    <mergeCell ref="B155:C155"/>
    <mergeCell ref="B183:E183"/>
    <mergeCell ref="B184:E184"/>
    <mergeCell ref="B185:E185"/>
    <mergeCell ref="B192:C192"/>
    <mergeCell ref="B195:E195"/>
    <mergeCell ref="B137:E137"/>
    <mergeCell ref="B138:E138"/>
    <mergeCell ref="B139:E139"/>
    <mergeCell ref="B140:E140"/>
    <mergeCell ref="B141:E141"/>
    <mergeCell ref="B142:E142"/>
    <mergeCell ref="B118:E118"/>
    <mergeCell ref="B120:E120"/>
    <mergeCell ref="B121:E121"/>
    <mergeCell ref="B122:E122"/>
    <mergeCell ref="B123:E123"/>
    <mergeCell ref="B124:E124"/>
    <mergeCell ref="B97:E97"/>
    <mergeCell ref="B98:E98"/>
    <mergeCell ref="B99:E99"/>
    <mergeCell ref="B100:E100"/>
    <mergeCell ref="B101:E101"/>
    <mergeCell ref="B117:E117"/>
    <mergeCell ref="B91:E91"/>
    <mergeCell ref="B92:E92"/>
    <mergeCell ref="B93:E93"/>
    <mergeCell ref="B94:E94"/>
    <mergeCell ref="B95:E95"/>
    <mergeCell ref="B96:E96"/>
    <mergeCell ref="B85:E85"/>
    <mergeCell ref="B86:E86"/>
    <mergeCell ref="B87:E87"/>
    <mergeCell ref="B88:E88"/>
    <mergeCell ref="B89:E89"/>
    <mergeCell ref="B90:E90"/>
    <mergeCell ref="B76:E76"/>
    <mergeCell ref="B77:E77"/>
    <mergeCell ref="B78:E78"/>
    <mergeCell ref="B79:E79"/>
    <mergeCell ref="B81:E81"/>
    <mergeCell ref="B82:E82"/>
    <mergeCell ref="B70:E70"/>
    <mergeCell ref="B71:E71"/>
    <mergeCell ref="B72:E72"/>
    <mergeCell ref="B73:E73"/>
    <mergeCell ref="B74:E74"/>
    <mergeCell ref="B75:E75"/>
    <mergeCell ref="B63:E63"/>
    <mergeCell ref="B64:E64"/>
    <mergeCell ref="B65:E65"/>
    <mergeCell ref="B66:E66"/>
    <mergeCell ref="B67:E67"/>
    <mergeCell ref="B68:E68"/>
    <mergeCell ref="B50:E50"/>
    <mergeCell ref="B51:E51"/>
    <mergeCell ref="B52:E52"/>
    <mergeCell ref="B55:E55"/>
    <mergeCell ref="B56:E56"/>
    <mergeCell ref="B58:E58"/>
    <mergeCell ref="A4:E4"/>
    <mergeCell ref="B6:E6"/>
    <mergeCell ref="B10:E10"/>
    <mergeCell ref="B12:E12"/>
    <mergeCell ref="B14:E14"/>
    <mergeCell ref="B49:E49"/>
  </mergeCells>
  <conditionalFormatting sqref="D681:D683 D643 D606 D546 D506 D440 D420:D421 D360 D268:D269 D529 D203 D490 D192:D193 D626:D628 D473:D474 D423:D427 D155:D181 D451:D462 D217:D224">
    <cfRule type="expression" priority="2" stopIfTrue="1">
      <formula>"$E$165&gt;=1,¨Aumento¨"</formula>
    </cfRule>
  </conditionalFormatting>
  <conditionalFormatting sqref="D656">
    <cfRule type="expression" priority="1" stopIfTrue="1">
      <formula>"$E$165&gt;=1,¨Aumento¨"</formula>
    </cfRule>
  </conditionalFormatting>
  <pageMargins left="0.70866141732283472" right="0.70866141732283472" top="0.74803149606299213" bottom="0.74803149606299213" header="0.31496062992125984" footer="0.31496062992125984"/>
  <pageSetup scale="90" orientation="portrait" horizontalDpi="0"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Hoja1!_Toc208202813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MORILLO</dc:creator>
  <cp:lastModifiedBy>PAULA MORILLO</cp:lastModifiedBy>
  <cp:lastPrinted>2025-05-12T18:46:41Z</cp:lastPrinted>
  <dcterms:created xsi:type="dcterms:W3CDTF">2025-05-12T18:44:48Z</dcterms:created>
  <dcterms:modified xsi:type="dcterms:W3CDTF">2025-05-12T19:03:02Z</dcterms:modified>
</cp:coreProperties>
</file>